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ison.bravo\Documents\"/>
    </mc:Choice>
  </mc:AlternateContent>
  <bookViews>
    <workbookView xWindow="0" yWindow="0" windowWidth="25200" windowHeight="11985"/>
  </bookViews>
  <sheets>
    <sheet name="PPTO ZONA " sheetId="6" r:id="rId1"/>
    <sheet name="Zona 1" sheetId="7" r:id="rId2"/>
    <sheet name="Equipo Imp. Zona 1" sheetId="11" r:id="rId3"/>
    <sheet name="Zona 2" sheetId="8" r:id="rId4"/>
    <sheet name="Equipo Impl.Zona 2" sheetId="12" r:id="rId5"/>
    <sheet name="Zona 4" sheetId="10" r:id="rId6"/>
    <sheet name="Equipo Zona 4" sheetId="13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7" l="1"/>
  <c r="E19" i="13" l="1"/>
  <c r="E16" i="13"/>
  <c r="E13" i="13"/>
  <c r="E12" i="13"/>
  <c r="E11" i="13"/>
  <c r="E10" i="13" s="1"/>
  <c r="E8" i="13"/>
  <c r="E7" i="13"/>
  <c r="E6" i="13"/>
  <c r="E5" i="13"/>
  <c r="E4" i="13"/>
  <c r="E11" i="12"/>
  <c r="E10" i="12"/>
  <c r="E9" i="12"/>
  <c r="E14" i="12"/>
  <c r="E17" i="12"/>
  <c r="E20" i="12"/>
  <c r="E23" i="12"/>
  <c r="E7" i="12"/>
  <c r="E6" i="12"/>
  <c r="E5" i="12"/>
  <c r="E4" i="12"/>
  <c r="E3" i="12"/>
  <c r="E21" i="11"/>
  <c r="E19" i="11"/>
  <c r="E16" i="11"/>
  <c r="E13" i="11"/>
  <c r="E10" i="11"/>
  <c r="E9" i="11"/>
  <c r="E8" i="11"/>
  <c r="E6" i="11"/>
  <c r="E5" i="11"/>
  <c r="E4" i="11"/>
  <c r="E3" i="11"/>
  <c r="E2" i="11"/>
  <c r="E1" i="11" s="1"/>
  <c r="E3" i="13" l="1"/>
  <c r="E8" i="12"/>
  <c r="E36" i="8" s="1"/>
  <c r="E7" i="11"/>
  <c r="E2" i="12"/>
  <c r="E43" i="10" l="1"/>
  <c r="E38" i="10"/>
  <c r="E37" i="10"/>
  <c r="B7" i="6"/>
  <c r="F17" i="7"/>
  <c r="H12" i="10" l="1"/>
  <c r="H11" i="10"/>
  <c r="H10" i="10"/>
  <c r="H9" i="10"/>
  <c r="H8" i="10"/>
  <c r="H7" i="10"/>
  <c r="H6" i="10"/>
  <c r="H5" i="10"/>
  <c r="H4" i="10"/>
  <c r="H16" i="7"/>
  <c r="H15" i="7"/>
  <c r="H14" i="7"/>
  <c r="H13" i="7"/>
  <c r="H12" i="7"/>
  <c r="H11" i="7"/>
  <c r="H10" i="7"/>
  <c r="H9" i="7"/>
  <c r="H8" i="7"/>
  <c r="H7" i="7"/>
  <c r="H6" i="7"/>
  <c r="H5" i="7"/>
  <c r="G15" i="8"/>
  <c r="H14" i="8"/>
  <c r="H13" i="8"/>
  <c r="H12" i="8"/>
  <c r="H11" i="8"/>
  <c r="H10" i="8"/>
  <c r="H9" i="8"/>
  <c r="H8" i="8"/>
  <c r="H7" i="8"/>
  <c r="H6" i="8"/>
  <c r="H5" i="8"/>
  <c r="H4" i="8"/>
  <c r="H17" i="7" l="1"/>
  <c r="E24" i="7" s="1"/>
  <c r="H13" i="10"/>
  <c r="E20" i="10" s="1"/>
  <c r="H15" i="8"/>
  <c r="C4" i="6"/>
  <c r="F13" i="10"/>
  <c r="F15" i="8"/>
  <c r="A6" i="7"/>
  <c r="A7" i="7" s="1"/>
  <c r="A8" i="7" s="1"/>
  <c r="A9" i="7" s="1"/>
  <c r="A10" i="7" s="1"/>
  <c r="A11" i="7" s="1"/>
  <c r="A12" i="7" s="1"/>
  <c r="A13" i="7" s="1"/>
  <c r="A14" i="7" s="1"/>
  <c r="A15" i="7" s="1"/>
  <c r="A16" i="7" s="1"/>
  <c r="E22" i="8" l="1"/>
  <c r="C6" i="6"/>
  <c r="C5" i="6"/>
  <c r="C7" i="6" l="1"/>
  <c r="E44" i="10"/>
  <c r="E45" i="10"/>
  <c r="E27" i="10"/>
  <c r="E41" i="10"/>
  <c r="E36" i="10"/>
  <c r="E46" i="8"/>
  <c r="E45" i="8"/>
  <c r="E43" i="8"/>
  <c r="D43" i="8" s="1"/>
  <c r="E40" i="8"/>
  <c r="E39" i="8"/>
  <c r="E38" i="8"/>
  <c r="D37" i="8"/>
  <c r="D26" i="8"/>
  <c r="E47" i="7"/>
  <c r="E45" i="7"/>
  <c r="E42" i="7"/>
  <c r="E41" i="7"/>
  <c r="E40" i="7"/>
  <c r="D28" i="7"/>
  <c r="D37" i="10" l="1"/>
  <c r="E42" i="10"/>
  <c r="D34" i="10"/>
  <c r="E39" i="10"/>
  <c r="E27" i="8"/>
  <c r="E44" i="8"/>
  <c r="D35" i="10"/>
  <c r="E40" i="10"/>
  <c r="E28" i="8"/>
  <c r="E26" i="10"/>
  <c r="D36" i="10"/>
  <c r="D38" i="10"/>
  <c r="D41" i="10"/>
  <c r="D36" i="8"/>
  <c r="D40" i="8"/>
  <c r="E47" i="8"/>
  <c r="E25" i="10"/>
  <c r="E29" i="8"/>
  <c r="D38" i="8"/>
  <c r="E41" i="8"/>
  <c r="D39" i="8"/>
  <c r="E42" i="8"/>
  <c r="E35" i="8" l="1"/>
  <c r="E33" i="10"/>
  <c r="E26" i="8"/>
  <c r="E24" i="10"/>
  <c r="D43" i="10"/>
  <c r="D33" i="10" s="1"/>
  <c r="D23" i="10" s="1"/>
  <c r="D45" i="8"/>
  <c r="D35" i="8" s="1"/>
  <c r="D25" i="8" s="1"/>
  <c r="E25" i="8" l="1"/>
  <c r="E23" i="10"/>
  <c r="E48" i="8" l="1"/>
  <c r="E46" i="10"/>
  <c r="H15" i="10" s="1"/>
  <c r="H17" i="10" s="1"/>
  <c r="E48" i="10"/>
  <c r="H17" i="8" l="1"/>
  <c r="H19" i="8" s="1"/>
  <c r="E49" i="8"/>
  <c r="D5" i="6"/>
  <c r="E5" i="6" s="1"/>
  <c r="G5" i="6" s="1"/>
  <c r="E50" i="8"/>
  <c r="E47" i="10"/>
  <c r="F19" i="8"/>
  <c r="D6" i="6"/>
  <c r="F6" i="6" s="1"/>
  <c r="F17" i="10"/>
  <c r="E49" i="7"/>
  <c r="D38" i="7"/>
  <c r="D41" i="7"/>
  <c r="E48" i="7"/>
  <c r="E31" i="7"/>
  <c r="E43" i="7"/>
  <c r="D40" i="7"/>
  <c r="E30" i="7"/>
  <c r="D39" i="7"/>
  <c r="E29" i="7"/>
  <c r="E46" i="7"/>
  <c r="E44" i="7"/>
  <c r="D42" i="7"/>
  <c r="D45" i="7"/>
  <c r="E28" i="7" l="1"/>
  <c r="E37" i="7"/>
  <c r="D47" i="7" s="1"/>
  <c r="D37" i="7" s="1"/>
  <c r="D27" i="7" s="1"/>
  <c r="F5" i="6"/>
  <c r="E6" i="6"/>
  <c r="G6" i="6" s="1"/>
  <c r="E27" i="7" l="1"/>
  <c r="E50" i="7" s="1"/>
  <c r="H19" i="7" s="1"/>
  <c r="D4" i="6" l="1"/>
  <c r="H21" i="7"/>
  <c r="E51" i="7"/>
  <c r="E52" i="7"/>
  <c r="F4" i="6" l="1"/>
  <c r="F7" i="6" s="1"/>
  <c r="E4" i="6"/>
  <c r="E7" i="6" s="1"/>
  <c r="F21" i="7"/>
  <c r="G4" i="6" l="1"/>
  <c r="G7" i="6" s="1"/>
  <c r="D7" i="6"/>
</calcChain>
</file>

<file path=xl/sharedStrings.xml><?xml version="1.0" encoding="utf-8"?>
<sst xmlns="http://schemas.openxmlformats.org/spreadsheetml/2006/main" count="392" uniqueCount="202">
  <si>
    <t>PRESUPUESTO CON IPC</t>
  </si>
  <si>
    <t>ZONA</t>
  </si>
  <si>
    <t>TOTAL PROYECTOS</t>
  </si>
  <si>
    <t>COSTO DIRECTO</t>
  </si>
  <si>
    <t>COSTO DE IMPLEMENTACIÓN</t>
  </si>
  <si>
    <t xml:space="preserve">TOTAL ZONA </t>
  </si>
  <si>
    <t>%</t>
  </si>
  <si>
    <t>SMLMV</t>
  </si>
  <si>
    <t>ZONA 1</t>
  </si>
  <si>
    <t>ZONA 2</t>
  </si>
  <si>
    <t>ZONA 4</t>
  </si>
  <si>
    <t>TOTAL</t>
  </si>
  <si>
    <t>PROYECTOS ZONA 1</t>
  </si>
  <si>
    <t>No.</t>
  </si>
  <si>
    <t>Departamento</t>
  </si>
  <si>
    <t>Municipio</t>
  </si>
  <si>
    <t>Linea Productiva</t>
  </si>
  <si>
    <t>Nombre del proyecto</t>
  </si>
  <si>
    <t>COSTO DIRECTO ESTRUCTURACIÓN</t>
  </si>
  <si>
    <t>COSTO AJUSTADO CON IPC</t>
  </si>
  <si>
    <t>ANTIOQUIA</t>
  </si>
  <si>
    <t>Carepa</t>
  </si>
  <si>
    <t xml:space="preserve">Maracuyá </t>
  </si>
  <si>
    <t>“Fortalecimiento integral de la cadena productiva del maracuyá en el municipio de Carepa, departamento de Antioquia”</t>
  </si>
  <si>
    <t>BOLÍVAR</t>
  </si>
  <si>
    <t>El Guamo</t>
  </si>
  <si>
    <t>Cerdos</t>
  </si>
  <si>
    <t>Implementación de proyectos porcícolas para pequeñas productoras pecuarias del Municipio del Guamo, Bolívar</t>
  </si>
  <si>
    <t>SUCRE</t>
  </si>
  <si>
    <t>PALMITO</t>
  </si>
  <si>
    <t>Caña flecha</t>
  </si>
  <si>
    <t>Fortalecimiento de la línea productiva de caña flecha en el municipio de San Antonio de Palmito, Sucre</t>
  </si>
  <si>
    <t>Amalfi</t>
  </si>
  <si>
    <t>Café</t>
  </si>
  <si>
    <t>“Modernización de los procesos de beneficio y secado en las unidades productivas cafeteras del Municipio de Amalfi, Antioquia”</t>
  </si>
  <si>
    <t>Valdivia</t>
  </si>
  <si>
    <t>Cacao</t>
  </si>
  <si>
    <t xml:space="preserve"> Fortalecimiento integral de la cadena productiva cacaotera en el municipio de Valdivia, Antioquia</t>
  </si>
  <si>
    <t>María La Baja</t>
  </si>
  <si>
    <t>Plátano</t>
  </si>
  <si>
    <t>Fortalecimiento de cultivos tradicionales en sistemas asociados de plátano-maíz en el municipio de María La Baja- Bolívar.</t>
  </si>
  <si>
    <t>Segovia</t>
  </si>
  <si>
    <t>Ganadería</t>
  </si>
  <si>
    <t>Fortalecimiento integral de los sistemas productivos ganaderos doble propósito en el municipio de Segovia, Antioquia</t>
  </si>
  <si>
    <t>CÓRDOBA</t>
  </si>
  <si>
    <t>San José de Uré</t>
  </si>
  <si>
    <t>Fortalecimiento de la cadena productiva del cacao bajo sistemas agroforestales en la zona rural del municipio de San José de Uré – Córdoba.</t>
  </si>
  <si>
    <t>MURINDÓ</t>
  </si>
  <si>
    <t>Plan de Manejo Forestal</t>
  </si>
  <si>
    <t>Implementación de un plan de manejo forestal sostenible y acciones de repoblamiento con especies nativas en territorios pertenecientes a COCOMACIA y Consejo Comunitario por el Desarrollo Integral de Murindó (PDI) del municipio de Murindó, Antioquia</t>
  </si>
  <si>
    <t>San Jacinto</t>
  </si>
  <si>
    <t>Cabras - Ovejas</t>
  </si>
  <si>
    <t>Implementación de sistemas silvopastoriles de cría y producción de ovinos para pequeños y medianos productores pecuarios del municipio de San Jacinto, Bolívar</t>
  </si>
  <si>
    <t>Nechí</t>
  </si>
  <si>
    <t>Implementación de sistemas silvopastoriles sostenibles y bancos mixtos de forraje para pequeños y medianos productores pecuarios del municipio de Nechí, Antioquia.</t>
  </si>
  <si>
    <t>Mutatá</t>
  </si>
  <si>
    <t>Arroz</t>
  </si>
  <si>
    <t>Fortalecimiento integral de la cadena productiva del arroz en la zona rural del municipio de Mutatá, Antioquia</t>
  </si>
  <si>
    <t>CHOCÓ</t>
  </si>
  <si>
    <t>Medio Atrato</t>
  </si>
  <si>
    <t>Fortalecimiento de la cadena productiva del arroz (Oryza sativa) en el municipio de Medio Atrato, Departamento del Chocó.</t>
  </si>
  <si>
    <t>VALOR TOTAL COSTO DIRECTO PROYECTOS OFERTADO INCLUIDO IVA</t>
  </si>
  <si>
    <t>VALOR OFERTADO COSTO DE IMPLEMENTACIÓN  INCLUIDO IVA</t>
  </si>
  <si>
    <t>VALOR TOTAL OFERTADO INCLUIDO IVA</t>
  </si>
  <si>
    <t>Detalle Costo de Implementación</t>
  </si>
  <si>
    <t>Costo Directo</t>
  </si>
  <si>
    <t>Ítem</t>
  </si>
  <si>
    <t>Característica</t>
  </si>
  <si>
    <t xml:space="preserve">  Valor  </t>
  </si>
  <si>
    <t>ADMINISTRACIÓN</t>
  </si>
  <si>
    <t>Impuestos, tasas y contribuciones</t>
  </si>
  <si>
    <t>ICA</t>
  </si>
  <si>
    <t>Municipal</t>
  </si>
  <si>
    <t>Retención en la fuente</t>
  </si>
  <si>
    <t>Nacional</t>
  </si>
  <si>
    <t>Cuatro por mil</t>
  </si>
  <si>
    <t>ESTAMPILLA PRO CULTURA MUNICIPAL</t>
  </si>
  <si>
    <t>ESTAMPILLA PRO DEPORTE</t>
  </si>
  <si>
    <t xml:space="preserve">ESTAMPILLA PRO UNIVERSIDAD </t>
  </si>
  <si>
    <t>ESTAMPILLA PRO ADULTO MAYOR</t>
  </si>
  <si>
    <t>PRO DESARROLLO FRONTERIZO</t>
  </si>
  <si>
    <t>Administrativos</t>
  </si>
  <si>
    <t>Equipo Técnico</t>
  </si>
  <si>
    <t>Según anexo</t>
  </si>
  <si>
    <t>Equipo Administrativo</t>
  </si>
  <si>
    <t xml:space="preserve">Arriendos </t>
  </si>
  <si>
    <t>Una oficina sede central (14 meses)</t>
  </si>
  <si>
    <t>Bodegaje y logistica</t>
  </si>
  <si>
    <t>6 meses según requeirmiento, una bodega por proyecto</t>
  </si>
  <si>
    <t>Servicios</t>
  </si>
  <si>
    <t>Papelería y comunicaciones</t>
  </si>
  <si>
    <t>Estimado</t>
  </si>
  <si>
    <t>Software/hardware</t>
  </si>
  <si>
    <t>Transporte</t>
  </si>
  <si>
    <t>Póliza</t>
  </si>
  <si>
    <t>Estimado, en función a las condiciones contractuales</t>
  </si>
  <si>
    <t>Medidas generales de bioseguridad para reducir el riesgo de transmisión del COVID-19 o coronavirus</t>
  </si>
  <si>
    <t>IMPREVISTOS</t>
  </si>
  <si>
    <t>UTILIDAD (Incluido IVA sobre la Utilidad)</t>
  </si>
  <si>
    <t>TOTAL COSTO DE IMPLEMENTACIÓN</t>
  </si>
  <si>
    <t>Porcentaje de AIU</t>
  </si>
  <si>
    <t>TOTAL COSTO DIRECTO + IMPLEMENTACIÓN</t>
  </si>
  <si>
    <t>TOTAL EQUIPO ADMINISTRATIVO</t>
  </si>
  <si>
    <t>PERFIL</t>
  </si>
  <si>
    <t xml:space="preserve">COSTO MES </t>
  </si>
  <si>
    <t>N. DE MESES</t>
  </si>
  <si>
    <t>COORDINADOR</t>
  </si>
  <si>
    <t>ING. INDUSTRIAL</t>
  </si>
  <si>
    <t>ADMINISTRATIVO</t>
  </si>
  <si>
    <t>ADMON DE EMPRE</t>
  </si>
  <si>
    <t>CONTABLE</t>
  </si>
  <si>
    <t>CONTADOR</t>
  </si>
  <si>
    <t>ASISTENTE ADMON</t>
  </si>
  <si>
    <t>AUXILIAR</t>
  </si>
  <si>
    <t>ASESOR JURIDICO</t>
  </si>
  <si>
    <t>ABOGADO</t>
  </si>
  <si>
    <t>TOTAL EQUIPO TÉCNICO</t>
  </si>
  <si>
    <t>PECUARIO</t>
  </si>
  <si>
    <t>VETERINARIO</t>
  </si>
  <si>
    <t>AGRICOLA</t>
  </si>
  <si>
    <t>ING. AGRONOMO O AGRÍCOLA</t>
  </si>
  <si>
    <t>COMERCIALIZACIÓN</t>
  </si>
  <si>
    <t>ECON. ADMON, NBC</t>
  </si>
  <si>
    <t xml:space="preserve">Montes de Maria </t>
  </si>
  <si>
    <t>1 profesional</t>
  </si>
  <si>
    <t>Según anexo técnico</t>
  </si>
  <si>
    <t>Uraba</t>
  </si>
  <si>
    <t>1 Profesional</t>
  </si>
  <si>
    <t>Bajo Cauca - Sur de Cordoba</t>
  </si>
  <si>
    <t>Choco</t>
  </si>
  <si>
    <t>PROYECTOS ZONA 2</t>
  </si>
  <si>
    <t>MAGDALENA</t>
  </si>
  <si>
    <t>Santa Marta</t>
  </si>
  <si>
    <t>Pesca Artesanal</t>
  </si>
  <si>
    <t>Fortalecimiento integral de la cadena productiva de  pescadores artesanales del corregimiento de Guachaca distrito de Santa Marta, Magdalena.</t>
  </si>
  <si>
    <t>LA GUAJIRA</t>
  </si>
  <si>
    <t>DIBULLA</t>
  </si>
  <si>
    <t>Incremento de la productividad del cultivo de cacao en el municipio de Dibulla (La Guajira) a través de la renovación de cultivos, mejoramiento del proceso de beneficio, acompañamiento técnico y fortalecimiento organizacional.</t>
  </si>
  <si>
    <t>NORTE DE SANTANDER</t>
  </si>
  <si>
    <t>EL CARMEN</t>
  </si>
  <si>
    <t>Aguacate</t>
  </si>
  <si>
    <t>Fortalecimiento de la producción de aguacate a pequeños productores en el municipio de El Carmen, Norte de Santander</t>
  </si>
  <si>
    <t>CESAR</t>
  </si>
  <si>
    <t>Pueblo Bello</t>
  </si>
  <si>
    <t>Fortalecimiento de las prácticas de producción y beneficio de cacao, mediante programa de extensión y transferencia de tecnología, en pequeños productores del municipio de Pueblo Bello, Cesar.</t>
  </si>
  <si>
    <t>Ciénaga</t>
  </si>
  <si>
    <t>Apicultura</t>
  </si>
  <si>
    <t>Fortalecimiento de las capacidades técnicas, comerciales y empresariales de los apicultores en el municipio de Ciénaga, departamento de Magdalena</t>
  </si>
  <si>
    <t>MANAURE BALCÓN DEL CESAR</t>
  </si>
  <si>
    <t xml:space="preserve">Fortalecimiento de las capacidades técnicas y asociativas de los pequeños productores de café para mejorar los rendimientos en la producción, en la calidad de los granos entregados al comprador, y la dinámica asociativa y organizacional del municipio de Manaure, Cesar.  </t>
  </si>
  <si>
    <t>Santa Rosa Del Sur</t>
  </si>
  <si>
    <t>Mejoramiento de la productividad, competitividad y sostenibilidad de los sistemas ganaderos bovinos del municipio Santa Rosa del Sur - Bolívar.</t>
  </si>
  <si>
    <t>San Diego</t>
  </si>
  <si>
    <t>Maíz</t>
  </si>
  <si>
    <t>Fortalecimiento de la actividad productiva de maíz, y la capacidad organizativa y de gestión de pequeños productores del municipio de San Diego, Cesar.</t>
  </si>
  <si>
    <t>El Tarra</t>
  </si>
  <si>
    <t>Mejoramiento de  la productividad de la ganadería bovina en predios de pequeños y medianos productores en el municipio de El Tarra, N. de Santander</t>
  </si>
  <si>
    <t>La Jagua De Ibirico</t>
  </si>
  <si>
    <t>Mejoramiento productivo y ambiental, de los procesos postcosecha, de los sistemas cafeteros en el municipio de La Jagua de Ibirico</t>
  </si>
  <si>
    <t>San Pablo</t>
  </si>
  <si>
    <t>Implementación de un proyecto de ganado bovino silvopastoril de doble propósito para la generación de ingresos de la población rural del municipio de San Pablo - Bolívar</t>
  </si>
  <si>
    <t>TOTAL EQUIPO ADMON</t>
  </si>
  <si>
    <t>ZOOTECNISTA - BIOLOGOS</t>
  </si>
  <si>
    <t xml:space="preserve">Sur de Bolivar </t>
  </si>
  <si>
    <t>Pecuario</t>
  </si>
  <si>
    <t>Catatumbo</t>
  </si>
  <si>
    <t>Pecuario/Agricola</t>
  </si>
  <si>
    <t>Magadalena/Guajira</t>
  </si>
  <si>
    <t>Cesar</t>
  </si>
  <si>
    <t>2 Profesional</t>
  </si>
  <si>
    <t>Agricola</t>
  </si>
  <si>
    <t>PROYECTOS ZONA 4</t>
  </si>
  <si>
    <t>CAUCA</t>
  </si>
  <si>
    <t>Balboa</t>
  </si>
  <si>
    <t>Fortalecimiento de la cadena productiva de café en el municipio de Balboa, Cauca, para 80 familias productoras de café asociadas a ASPROBALBOA, utilizando módulos integrados para beneficio ecológico.</t>
  </si>
  <si>
    <t>VALLE DEL CAUCA</t>
  </si>
  <si>
    <t>Florida</t>
  </si>
  <si>
    <t xml:space="preserve">Flores </t>
  </si>
  <si>
    <t>Fortalecimiento de la línea productiva de flores exóticas y follajes para las mujeres pertenecientes a los resguardos indígenas el Triunfo, Cristal Páez, Nasa Kwes Kiwe y la Comunidad Indígena San Juan Páez Loma Gorda del municipio de Florida Valle del Cauca.</t>
  </si>
  <si>
    <t>Argelia</t>
  </si>
  <si>
    <t>Fortalecimiento de 75 hatos ganaderos de doble propósito, mediante implementación de sistemas de ganadería ecológica y mejoramiento genético del hato ganadero con la Asociación de Productores Ganaderos del Guáitara de Argelia-Cauca “ASOPROGAG”</t>
  </si>
  <si>
    <t>PUTUMAYO</t>
  </si>
  <si>
    <t>Orito</t>
  </si>
  <si>
    <t>Aumento de los índices productivos y de calidad para el cultivo de cacao a través de la instalación de capacidades técnicas y organizacionales a los productores del municipio de Orito.</t>
  </si>
  <si>
    <t>NARIÑO</t>
  </si>
  <si>
    <t>Los Andes</t>
  </si>
  <si>
    <t>Mejorar la productividad y competitividad de 80 sistemas de producción de ganadería para ceba pertenecientes a la Asociación de Ganaderos de Los Andes (ASOGAN) en el municipio de Los Andes, Nariño</t>
  </si>
  <si>
    <t>Olaya Herrera</t>
  </si>
  <si>
    <t>Coco</t>
  </si>
  <si>
    <t>Fortalecimiento de la producción de cocotero con niveles de calidad y manejo fitosanitario en el Consejo Comunitario Gualmar del municipio de Olaya Herrera, Nariño.</t>
  </si>
  <si>
    <t>San Miguel</t>
  </si>
  <si>
    <t>Fortalecimiento técnico – productivo y socio-organizacional de  familias cacaoteras del Municipio de San Miguel departamento del Putumayo</t>
  </si>
  <si>
    <t>Mocoa</t>
  </si>
  <si>
    <t>“Fortalecimiento técnico y productivo con equipamiento en beneficio para 100 fincas cafeteras en el municipio de Mocoa, departamento del Putumayo”.</t>
  </si>
  <si>
    <t>Villagarzón</t>
  </si>
  <si>
    <t>Implementación de sistemas silvopastoriles e inversión predial para el fortalecimiento productivo, técnico y organizacional a 100 productores ganaderos del Municipio de Villagarzón- Putumayo.</t>
  </si>
  <si>
    <t>Total, costos de implementación</t>
  </si>
  <si>
    <t>Equipo Zona 4</t>
  </si>
  <si>
    <t>Tumaco</t>
  </si>
  <si>
    <t>Agroforestal</t>
  </si>
  <si>
    <t>Putumayo</t>
  </si>
  <si>
    <t>Agrícola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</si>
</sst>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_-;\-* #,##0_-;_-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(&quot;$&quot;\ * #,##0_);_(&quot;$&quot;\ * \(#,##0\);_(&quot;$&quot;\ * &quot;-&quot;??_);_(@_)"/>
    <numFmt numFmtId="168" formatCode="_-* #,##0_-;\-* #,##0_-;_-* &quot;-&quot;??_-;_-@_-"/>
    <numFmt numFmtId="169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9"/>
      <color rgb="FFFFFFFF"/>
      <name val="Arial Narrow"/>
      <family val="2"/>
    </font>
    <font>
      <b/>
      <sz val="9"/>
      <color rgb="FF000000"/>
      <name val="Arial Narrow"/>
      <family val="2"/>
    </font>
    <font>
      <sz val="9"/>
      <color rgb="FF000000"/>
      <name val="Arial Narrow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1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1" xfId="0" applyBorder="1" applyAlignment="1">
      <alignment horizontal="justify" vertical="center" wrapText="1"/>
    </xf>
    <xf numFmtId="0" fontId="3" fillId="7" borderId="1" xfId="0" applyFont="1" applyFill="1" applyBorder="1" applyAlignment="1">
      <alignment horizontal="center" wrapText="1"/>
    </xf>
    <xf numFmtId="0" fontId="3" fillId="7" borderId="1" xfId="0" applyFont="1" applyFill="1" applyBorder="1" applyAlignment="1">
      <alignment horizontal="center"/>
    </xf>
    <xf numFmtId="0" fontId="0" fillId="7" borderId="1" xfId="0" applyFont="1" applyFill="1" applyBorder="1"/>
    <xf numFmtId="166" fontId="0" fillId="0" borderId="1" xfId="1" applyFont="1" applyBorder="1"/>
    <xf numFmtId="166" fontId="0" fillId="0" borderId="0" xfId="1" applyFont="1"/>
    <xf numFmtId="0" fontId="7" fillId="8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justify" vertical="center" wrapText="1"/>
    </xf>
    <xf numFmtId="10" fontId="8" fillId="9" borderId="1" xfId="0" applyNumberFormat="1" applyFont="1" applyFill="1" applyBorder="1" applyAlignment="1">
      <alignment horizontal="center" vertical="center" wrapText="1"/>
    </xf>
    <xf numFmtId="3" fontId="8" fillId="9" borderId="1" xfId="0" applyNumberFormat="1" applyFont="1" applyFill="1" applyBorder="1" applyAlignment="1">
      <alignment horizontal="right" vertical="center" wrapText="1"/>
    </xf>
    <xf numFmtId="0" fontId="8" fillId="9" borderId="1" xfId="0" applyFont="1" applyFill="1" applyBorder="1" applyAlignment="1">
      <alignment vertical="center"/>
    </xf>
    <xf numFmtId="10" fontId="8" fillId="9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10" borderId="1" xfId="0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right" vertical="center" wrapText="1"/>
    </xf>
    <xf numFmtId="9" fontId="9" fillId="10" borderId="1" xfId="0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left" vertical="center" wrapText="1"/>
    </xf>
    <xf numFmtId="169" fontId="11" fillId="6" borderId="1" xfId="0" applyNumberFormat="1" applyFont="1" applyFill="1" applyBorder="1" applyAlignment="1">
      <alignment horizontal="center"/>
    </xf>
    <xf numFmtId="3" fontId="8" fillId="9" borderId="1" xfId="0" applyNumberFormat="1" applyFont="1" applyFill="1" applyBorder="1" applyAlignment="1">
      <alignment horizontal="right" vertical="center"/>
    </xf>
    <xf numFmtId="10" fontId="9" fillId="3" borderId="1" xfId="0" applyNumberFormat="1" applyFont="1" applyFill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right" vertical="center" wrapText="1"/>
    </xf>
    <xf numFmtId="0" fontId="0" fillId="3" borderId="0" xfId="0" applyFill="1"/>
    <xf numFmtId="0" fontId="9" fillId="3" borderId="1" xfId="0" applyFont="1" applyFill="1" applyBorder="1" applyAlignment="1">
      <alignment vertical="center" wrapText="1"/>
    </xf>
    <xf numFmtId="9" fontId="9" fillId="3" borderId="1" xfId="0" applyNumberFormat="1" applyFont="1" applyFill="1" applyBorder="1" applyAlignment="1">
      <alignment horizontal="center" vertical="center"/>
    </xf>
    <xf numFmtId="9" fontId="8" fillId="9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right" vertical="center"/>
    </xf>
    <xf numFmtId="3" fontId="0" fillId="0" borderId="0" xfId="0" applyNumberFormat="1"/>
    <xf numFmtId="43" fontId="0" fillId="0" borderId="0" xfId="0" applyNumberFormat="1"/>
    <xf numFmtId="0" fontId="0" fillId="0" borderId="1" xfId="0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justify" vertical="center" wrapText="1"/>
    </xf>
    <xf numFmtId="0" fontId="15" fillId="0" borderId="5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5" fillId="3" borderId="6" xfId="0" applyFont="1" applyFill="1" applyBorder="1" applyAlignment="1" applyProtection="1">
      <alignment horizontal="left" vertical="center" wrapText="1"/>
      <protection locked="0"/>
    </xf>
    <xf numFmtId="0" fontId="6" fillId="3" borderId="7" xfId="0" applyFont="1" applyFill="1" applyBorder="1" applyAlignment="1" applyProtection="1">
      <alignment horizontal="left" vertical="center" wrapText="1"/>
      <protection locked="0"/>
    </xf>
    <xf numFmtId="0" fontId="13" fillId="3" borderId="0" xfId="0" applyFont="1" applyFill="1"/>
    <xf numFmtId="0" fontId="14" fillId="3" borderId="5" xfId="0" applyFont="1" applyFill="1" applyBorder="1" applyAlignment="1">
      <alignment horizontal="left"/>
    </xf>
    <xf numFmtId="0" fontId="14" fillId="3" borderId="6" xfId="0" applyFont="1" applyFill="1" applyBorder="1" applyAlignment="1">
      <alignment horizontal="left"/>
    </xf>
    <xf numFmtId="0" fontId="13" fillId="3" borderId="7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center" vertical="center" wrapText="1"/>
    </xf>
    <xf numFmtId="166" fontId="13" fillId="3" borderId="1" xfId="1" applyNumberFormat="1" applyFont="1" applyFill="1" applyBorder="1" applyAlignment="1">
      <alignment horizontal="right" vertical="center"/>
    </xf>
    <xf numFmtId="166" fontId="13" fillId="0" borderId="1" xfId="5" applyNumberFormat="1" applyFont="1" applyBorder="1"/>
    <xf numFmtId="166" fontId="13" fillId="0" borderId="0" xfId="0" applyNumberFormat="1" applyFont="1"/>
    <xf numFmtId="166" fontId="1" fillId="0" borderId="1" xfId="1" applyFont="1" applyBorder="1"/>
    <xf numFmtId="0" fontId="1" fillId="0" borderId="0" xfId="0" applyFont="1"/>
    <xf numFmtId="166" fontId="1" fillId="0" borderId="1" xfId="0" applyNumberFormat="1" applyFont="1" applyBorder="1"/>
    <xf numFmtId="0" fontId="1" fillId="0" borderId="7" xfId="0" applyFont="1" applyBorder="1" applyAlignment="1">
      <alignment horizontal="left"/>
    </xf>
    <xf numFmtId="166" fontId="13" fillId="3" borderId="1" xfId="1" applyNumberFormat="1" applyFont="1" applyFill="1" applyBorder="1" applyAlignment="1">
      <alignment vertical="center"/>
    </xf>
    <xf numFmtId="166" fontId="0" fillId="0" borderId="0" xfId="0" applyNumberFormat="1"/>
    <xf numFmtId="166" fontId="0" fillId="0" borderId="0" xfId="0" applyNumberFormat="1" applyAlignment="1">
      <alignment wrapText="1"/>
    </xf>
    <xf numFmtId="166" fontId="13" fillId="3" borderId="0" xfId="0" applyNumberFormat="1" applyFont="1" applyFill="1"/>
    <xf numFmtId="166" fontId="0" fillId="3" borderId="0" xfId="0" applyNumberFormat="1" applyFill="1"/>
    <xf numFmtId="166" fontId="13" fillId="0" borderId="1" xfId="0" applyNumberFormat="1" applyFont="1" applyBorder="1"/>
    <xf numFmtId="166" fontId="13" fillId="7" borderId="1" xfId="1" applyNumberFormat="1" applyFont="1" applyFill="1" applyBorder="1"/>
    <xf numFmtId="9" fontId="13" fillId="0" borderId="1" xfId="4" applyFont="1" applyBorder="1" applyAlignment="1">
      <alignment horizontal="center"/>
    </xf>
    <xf numFmtId="9" fontId="13" fillId="7" borderId="1" xfId="4" applyFont="1" applyFill="1" applyBorder="1" applyAlignment="1">
      <alignment horizontal="center"/>
    </xf>
    <xf numFmtId="168" fontId="13" fillId="0" borderId="1" xfId="1" applyNumberFormat="1" applyFont="1" applyBorder="1"/>
    <xf numFmtId="168" fontId="13" fillId="0" borderId="1" xfId="0" applyNumberFormat="1" applyFont="1" applyBorder="1"/>
    <xf numFmtId="168" fontId="13" fillId="7" borderId="1" xfId="1" applyNumberFormat="1" applyFont="1" applyFill="1" applyBorder="1"/>
    <xf numFmtId="168" fontId="13" fillId="7" borderId="4" xfId="1" applyNumberFormat="1" applyFont="1" applyFill="1" applyBorder="1"/>
    <xf numFmtId="0" fontId="3" fillId="0" borderId="0" xfId="0" applyFont="1"/>
    <xf numFmtId="166" fontId="3" fillId="0" borderId="0" xfId="1" applyFont="1"/>
    <xf numFmtId="0" fontId="10" fillId="3" borderId="1" xfId="0" applyFont="1" applyFill="1" applyBorder="1" applyAlignment="1">
      <alignment horizontal="left" vertical="center" wrapText="1"/>
    </xf>
    <xf numFmtId="169" fontId="11" fillId="3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167" fontId="0" fillId="0" borderId="0" xfId="5" applyNumberFormat="1" applyFont="1"/>
    <xf numFmtId="44" fontId="0" fillId="0" borderId="0" xfId="5" applyFont="1"/>
    <xf numFmtId="0" fontId="0" fillId="0" borderId="0" xfId="0" applyAlignment="1">
      <alignment horizontal="left" indent="1"/>
    </xf>
    <xf numFmtId="167" fontId="0" fillId="0" borderId="1" xfId="5" applyNumberFormat="1" applyFont="1" applyBorder="1"/>
    <xf numFmtId="44" fontId="0" fillId="0" borderId="1" xfId="5" applyFont="1" applyBorder="1"/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right" indent="1"/>
    </xf>
    <xf numFmtId="167" fontId="0" fillId="0" borderId="1" xfId="5" applyNumberFormat="1" applyFont="1" applyBorder="1" applyAlignment="1">
      <alignment horizontal="left" indent="1"/>
    </xf>
    <xf numFmtId="0" fontId="0" fillId="0" borderId="1" xfId="0" applyBorder="1" applyAlignment="1">
      <alignment horizontal="right"/>
    </xf>
    <xf numFmtId="44" fontId="0" fillId="0" borderId="1" xfId="5" applyFont="1" applyBorder="1" applyAlignment="1">
      <alignment horizontal="left" indent="1"/>
    </xf>
    <xf numFmtId="0" fontId="4" fillId="5" borderId="1" xfId="0" applyFont="1" applyFill="1" applyBorder="1"/>
    <xf numFmtId="167" fontId="4" fillId="5" borderId="1" xfId="5" applyNumberFormat="1" applyFont="1" applyFill="1" applyBorder="1"/>
    <xf numFmtId="44" fontId="2" fillId="5" borderId="1" xfId="5" applyFont="1" applyFill="1" applyBorder="1"/>
    <xf numFmtId="0" fontId="2" fillId="5" borderId="1" xfId="0" applyFont="1" applyFill="1" applyBorder="1" applyAlignment="1">
      <alignment horizontal="center"/>
    </xf>
    <xf numFmtId="167" fontId="2" fillId="5" borderId="1" xfId="5" applyNumberFormat="1" applyFont="1" applyFill="1" applyBorder="1" applyAlignment="1">
      <alignment horizontal="center"/>
    </xf>
    <xf numFmtId="167" fontId="3" fillId="0" borderId="0" xfId="5" applyNumberFormat="1" applyFont="1"/>
    <xf numFmtId="0" fontId="2" fillId="5" borderId="0" xfId="0" applyFont="1" applyFill="1"/>
    <xf numFmtId="167" fontId="2" fillId="5" borderId="0" xfId="5" applyNumberFormat="1" applyFont="1" applyFill="1"/>
    <xf numFmtId="44" fontId="2" fillId="5" borderId="0" xfId="5" applyFont="1" applyFill="1"/>
    <xf numFmtId="0" fontId="0" fillId="4" borderId="0" xfId="0" applyFill="1" applyAlignment="1">
      <alignment horizontal="left" indent="1"/>
    </xf>
    <xf numFmtId="0" fontId="0" fillId="4" borderId="0" xfId="0" applyFill="1"/>
    <xf numFmtId="167" fontId="0" fillId="4" borderId="0" xfId="5" applyNumberFormat="1" applyFont="1" applyFill="1"/>
    <xf numFmtId="44" fontId="0" fillId="4" borderId="0" xfId="5" applyFont="1" applyFill="1"/>
    <xf numFmtId="167" fontId="4" fillId="5" borderId="0" xfId="5" applyNumberFormat="1" applyFont="1" applyFill="1"/>
    <xf numFmtId="0" fontId="4" fillId="5" borderId="0" xfId="0" applyFont="1" applyFill="1"/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6">
    <cellStyle name="Millares" xfId="1" builtinId="3"/>
    <cellStyle name="Millares [0] 2 2 2" xfId="2"/>
    <cellStyle name="Moneda" xfId="5" builtinId="4"/>
    <cellStyle name="Moneda 2 2 2" xfId="3"/>
    <cellStyle name="Normal" xfId="0" builtinId="0"/>
    <cellStyle name="Porcentaje" xfId="4" builtinId="5"/>
  </cellStyles>
  <dxfs count="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15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6543675" y="10496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 sz="1100"/>
        </a:p>
      </xdr:txBody>
    </xdr:sp>
    <xdr:clientData/>
  </xdr:oneCellAnchor>
  <xdr:oneCellAnchor>
    <xdr:from>
      <xdr:col>3</xdr:col>
      <xdr:colOff>0</xdr:colOff>
      <xdr:row>16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2247900" y="1209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14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3552825" y="17735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184731" cy="26456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 txBox="1"/>
      </xdr:nvSpPr>
      <xdr:spPr>
        <a:xfrm>
          <a:off x="2247900" y="1209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 txBox="1"/>
      </xdr:nvSpPr>
      <xdr:spPr>
        <a:xfrm>
          <a:off x="2362200" y="1319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tabSelected="1" workbookViewId="0">
      <selection activeCell="A2" sqref="A2"/>
    </sheetView>
  </sheetViews>
  <sheetFormatPr baseColWidth="10" defaultColWidth="11.42578125" defaultRowHeight="15" x14ac:dyDescent="0.25"/>
  <cols>
    <col min="1" max="2" width="17.7109375" customWidth="1"/>
    <col min="3" max="3" width="24.5703125" customWidth="1"/>
    <col min="4" max="4" width="22.140625" customWidth="1"/>
    <col min="5" max="5" width="22.85546875" customWidth="1"/>
    <col min="6" max="6" width="17.85546875" customWidth="1"/>
    <col min="7" max="7" width="16.85546875" bestFit="1" customWidth="1"/>
    <col min="8" max="8" width="18.5703125" customWidth="1"/>
  </cols>
  <sheetData>
    <row r="2" spans="1:8" x14ac:dyDescent="0.25">
      <c r="A2" s="75" t="s">
        <v>0</v>
      </c>
    </row>
    <row r="3" spans="1:8" ht="30" x14ac:dyDescent="0.25">
      <c r="A3" s="6" t="s">
        <v>1</v>
      </c>
      <c r="B3" s="6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9">
        <v>908526</v>
      </c>
    </row>
    <row r="4" spans="1:8" x14ac:dyDescent="0.25">
      <c r="A4" s="3" t="s">
        <v>8</v>
      </c>
      <c r="B4" s="37">
        <v>13</v>
      </c>
      <c r="C4" s="71">
        <f>+'Zona 1'!H17</f>
        <v>11836440371</v>
      </c>
      <c r="D4" s="72">
        <f>+'Zona 1'!H19</f>
        <v>2767266231.7106004</v>
      </c>
      <c r="E4" s="72">
        <f>+C4+D4</f>
        <v>14603706602.7106</v>
      </c>
      <c r="F4" s="69">
        <f>+D4/C4</f>
        <v>0.23379209838209225</v>
      </c>
      <c r="G4" s="67">
        <f>+E4/$H$3</f>
        <v>16074.06568739981</v>
      </c>
      <c r="H4" s="9"/>
    </row>
    <row r="5" spans="1:8" x14ac:dyDescent="0.25">
      <c r="A5" s="3" t="s">
        <v>9</v>
      </c>
      <c r="B5" s="37">
        <v>11</v>
      </c>
      <c r="C5" s="71">
        <f>+'Zona 2'!H15</f>
        <v>8853618506</v>
      </c>
      <c r="D5" s="72">
        <f>+'Zona 2'!E48</f>
        <v>2433275339.8716002</v>
      </c>
      <c r="E5" s="72">
        <f>+C5+D5</f>
        <v>11286893845.871601</v>
      </c>
      <c r="F5" s="69">
        <f>+D5/C5</f>
        <v>0.27483399450999568</v>
      </c>
      <c r="G5" s="67">
        <f>+E5/$H$3</f>
        <v>12423.303070987073</v>
      </c>
      <c r="H5" s="9"/>
    </row>
    <row r="6" spans="1:8" x14ac:dyDescent="0.25">
      <c r="A6" s="3" t="s">
        <v>10</v>
      </c>
      <c r="B6" s="37">
        <v>9</v>
      </c>
      <c r="C6" s="71">
        <f>+'Zona 4'!H13</f>
        <v>8317089807</v>
      </c>
      <c r="D6" s="72">
        <f>+'Zona 4'!H15</f>
        <v>2101877749.1802001</v>
      </c>
      <c r="E6" s="72">
        <f>+C6+D6</f>
        <v>10418967556.180201</v>
      </c>
      <c r="F6" s="69">
        <f>+D6/C6</f>
        <v>0.25271793355064825</v>
      </c>
      <c r="G6" s="67">
        <f>+E6/$H$3</f>
        <v>11467.990521108037</v>
      </c>
      <c r="H6" s="9"/>
    </row>
    <row r="7" spans="1:8" x14ac:dyDescent="0.25">
      <c r="A7" s="7" t="s">
        <v>11</v>
      </c>
      <c r="B7" s="38">
        <f>SUM(B4:B6)</f>
        <v>33</v>
      </c>
      <c r="C7" s="73">
        <f>SUM(C4:C6)</f>
        <v>29007148684</v>
      </c>
      <c r="D7" s="73">
        <f>SUM(D4:D6)</f>
        <v>7302419320.7624016</v>
      </c>
      <c r="E7" s="74">
        <f>SUM(E4:E6)</f>
        <v>36309568004.762398</v>
      </c>
      <c r="F7" s="70">
        <f>(F4+F5+F6)/3</f>
        <v>0.25378134214757875</v>
      </c>
      <c r="G7" s="68">
        <f>SUM(G4:G6)</f>
        <v>39965.359279494922</v>
      </c>
    </row>
    <row r="8" spans="1:8" x14ac:dyDescent="0.25">
      <c r="C8" s="36"/>
      <c r="D8" s="36"/>
      <c r="E8" s="36"/>
      <c r="F8" s="36"/>
    </row>
    <row r="9" spans="1:8" x14ac:dyDescent="0.25">
      <c r="C9" s="36"/>
      <c r="D9" s="36"/>
      <c r="E9" s="36"/>
    </row>
    <row r="10" spans="1:8" x14ac:dyDescent="0.25">
      <c r="C10" s="36"/>
      <c r="D10" s="36"/>
      <c r="E10" s="3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opLeftCell="A70" workbookViewId="0">
      <selection activeCell="A55" sqref="A55"/>
    </sheetView>
  </sheetViews>
  <sheetFormatPr baseColWidth="10" defaultColWidth="11.42578125" defaultRowHeight="15" x14ac:dyDescent="0.25"/>
  <cols>
    <col min="1" max="1" width="5.140625" customWidth="1"/>
    <col min="2" max="2" width="22.7109375" customWidth="1"/>
    <col min="3" max="3" width="25" customWidth="1"/>
    <col min="4" max="4" width="15.140625" customWidth="1"/>
    <col min="5" max="5" width="37.85546875" customWidth="1"/>
    <col min="6" max="6" width="18.5703125" customWidth="1"/>
    <col min="7" max="7" width="0.85546875" customWidth="1"/>
    <col min="8" max="8" width="18.5703125" customWidth="1"/>
  </cols>
  <sheetData>
    <row r="1" spans="1:8" x14ac:dyDescent="0.25">
      <c r="A1" s="108" t="s">
        <v>12</v>
      </c>
      <c r="B1" s="108"/>
      <c r="C1" s="108"/>
      <c r="D1" s="108"/>
      <c r="E1" s="108"/>
      <c r="F1" s="108"/>
      <c r="G1" s="108"/>
      <c r="H1" s="108"/>
    </row>
    <row r="3" spans="1:8" ht="30" x14ac:dyDescent="0.25">
      <c r="A3" s="39" t="s">
        <v>13</v>
      </c>
      <c r="B3" s="39" t="s">
        <v>14</v>
      </c>
      <c r="C3" s="39" t="s">
        <v>15</v>
      </c>
      <c r="D3" s="1" t="s">
        <v>16</v>
      </c>
      <c r="E3" s="39" t="s">
        <v>17</v>
      </c>
      <c r="F3" s="41" t="s">
        <v>18</v>
      </c>
      <c r="H3" s="54" t="s">
        <v>19</v>
      </c>
    </row>
    <row r="4" spans="1:8" ht="45" x14ac:dyDescent="0.25">
      <c r="A4" s="2">
        <v>1</v>
      </c>
      <c r="B4" s="2" t="s">
        <v>20</v>
      </c>
      <c r="C4" s="2" t="s">
        <v>21</v>
      </c>
      <c r="D4" s="2" t="s">
        <v>22</v>
      </c>
      <c r="E4" s="4" t="s">
        <v>23</v>
      </c>
      <c r="F4" s="8">
        <v>685922671</v>
      </c>
      <c r="H4" s="8">
        <f>+ROUND(F4*1.61%,0)+F4</f>
        <v>696966026</v>
      </c>
    </row>
    <row r="5" spans="1:8" ht="45" x14ac:dyDescent="0.25">
      <c r="A5" s="2">
        <v>2</v>
      </c>
      <c r="B5" s="2" t="s">
        <v>24</v>
      </c>
      <c r="C5" s="2" t="s">
        <v>25</v>
      </c>
      <c r="D5" s="2" t="s">
        <v>26</v>
      </c>
      <c r="E5" s="4" t="s">
        <v>27</v>
      </c>
      <c r="F5" s="8">
        <v>779999111</v>
      </c>
      <c r="H5" s="8">
        <f t="shared" ref="H5:H16" si="0">+ROUND(F5*1.61%,0)+F5</f>
        <v>792557097</v>
      </c>
    </row>
    <row r="6" spans="1:8" ht="45" x14ac:dyDescent="0.25">
      <c r="A6" s="2">
        <f>+A5+1</f>
        <v>3</v>
      </c>
      <c r="B6" s="2" t="s">
        <v>28</v>
      </c>
      <c r="C6" s="2" t="s">
        <v>29</v>
      </c>
      <c r="D6" s="2" t="s">
        <v>30</v>
      </c>
      <c r="E6" s="4" t="s">
        <v>31</v>
      </c>
      <c r="F6" s="8">
        <v>769467500</v>
      </c>
      <c r="H6" s="8">
        <f t="shared" si="0"/>
        <v>781855927</v>
      </c>
    </row>
    <row r="7" spans="1:8" ht="60" x14ac:dyDescent="0.25">
      <c r="A7" s="2">
        <f t="shared" ref="A7:A16" si="1">+A6+1</f>
        <v>4</v>
      </c>
      <c r="B7" s="2" t="s">
        <v>20</v>
      </c>
      <c r="C7" s="2" t="s">
        <v>32</v>
      </c>
      <c r="D7" s="2" t="s">
        <v>33</v>
      </c>
      <c r="E7" s="4" t="s">
        <v>34</v>
      </c>
      <c r="F7" s="8">
        <v>807059860</v>
      </c>
      <c r="H7" s="8">
        <f t="shared" si="0"/>
        <v>820053524</v>
      </c>
    </row>
    <row r="8" spans="1:8" ht="45" x14ac:dyDescent="0.25">
      <c r="A8" s="2">
        <f t="shared" si="1"/>
        <v>5</v>
      </c>
      <c r="B8" s="2" t="s">
        <v>20</v>
      </c>
      <c r="C8" s="2" t="s">
        <v>35</v>
      </c>
      <c r="D8" s="2" t="s">
        <v>36</v>
      </c>
      <c r="E8" s="4" t="s">
        <v>37</v>
      </c>
      <c r="F8" s="8">
        <v>936472990</v>
      </c>
      <c r="H8" s="8">
        <f t="shared" si="0"/>
        <v>951550205</v>
      </c>
    </row>
    <row r="9" spans="1:8" ht="45" x14ac:dyDescent="0.25">
      <c r="A9" s="2">
        <f t="shared" si="1"/>
        <v>6</v>
      </c>
      <c r="B9" s="2" t="s">
        <v>24</v>
      </c>
      <c r="C9" s="2" t="s">
        <v>38</v>
      </c>
      <c r="D9" s="2" t="s">
        <v>39</v>
      </c>
      <c r="E9" s="4" t="s">
        <v>40</v>
      </c>
      <c r="F9" s="8">
        <v>970720000</v>
      </c>
      <c r="H9" s="8">
        <f t="shared" si="0"/>
        <v>986348592</v>
      </c>
    </row>
    <row r="10" spans="1:8" ht="45" x14ac:dyDescent="0.25">
      <c r="A10" s="2">
        <f t="shared" si="1"/>
        <v>7</v>
      </c>
      <c r="B10" s="2" t="s">
        <v>20</v>
      </c>
      <c r="C10" s="2" t="s">
        <v>41</v>
      </c>
      <c r="D10" s="2" t="s">
        <v>42</v>
      </c>
      <c r="E10" s="4" t="s">
        <v>43</v>
      </c>
      <c r="F10" s="8">
        <v>799778801</v>
      </c>
      <c r="H10" s="8">
        <f t="shared" si="0"/>
        <v>812655240</v>
      </c>
    </row>
    <row r="11" spans="1:8" ht="60" x14ac:dyDescent="0.25">
      <c r="A11" s="2">
        <f t="shared" si="1"/>
        <v>8</v>
      </c>
      <c r="B11" s="2" t="s">
        <v>44</v>
      </c>
      <c r="C11" s="2" t="s">
        <v>45</v>
      </c>
      <c r="D11" s="2" t="s">
        <v>36</v>
      </c>
      <c r="E11" s="4" t="s">
        <v>46</v>
      </c>
      <c r="F11" s="8">
        <v>999062500</v>
      </c>
      <c r="H11" s="8">
        <f t="shared" si="0"/>
        <v>1015147406</v>
      </c>
    </row>
    <row r="12" spans="1:8" ht="105" x14ac:dyDescent="0.25">
      <c r="A12" s="2">
        <f t="shared" si="1"/>
        <v>9</v>
      </c>
      <c r="B12" s="2" t="s">
        <v>20</v>
      </c>
      <c r="C12" s="2" t="s">
        <v>47</v>
      </c>
      <c r="D12" s="2" t="s">
        <v>48</v>
      </c>
      <c r="E12" s="4" t="s">
        <v>49</v>
      </c>
      <c r="F12" s="8">
        <v>1441817250</v>
      </c>
      <c r="H12" s="8">
        <f t="shared" si="0"/>
        <v>1465030508</v>
      </c>
    </row>
    <row r="13" spans="1:8" ht="75" x14ac:dyDescent="0.25">
      <c r="A13" s="2">
        <f t="shared" si="1"/>
        <v>10</v>
      </c>
      <c r="B13" s="2" t="s">
        <v>24</v>
      </c>
      <c r="C13" s="2" t="s">
        <v>50</v>
      </c>
      <c r="D13" s="2" t="s">
        <v>51</v>
      </c>
      <c r="E13" s="4" t="s">
        <v>52</v>
      </c>
      <c r="F13" s="8">
        <v>999824302</v>
      </c>
      <c r="H13" s="8">
        <f t="shared" si="0"/>
        <v>1015921473</v>
      </c>
    </row>
    <row r="14" spans="1:8" ht="75" x14ac:dyDescent="0.25">
      <c r="A14" s="2">
        <f t="shared" si="1"/>
        <v>11</v>
      </c>
      <c r="B14" s="2" t="s">
        <v>20</v>
      </c>
      <c r="C14" s="2" t="s">
        <v>53</v>
      </c>
      <c r="D14" s="2" t="s">
        <v>42</v>
      </c>
      <c r="E14" s="4" t="s">
        <v>54</v>
      </c>
      <c r="F14" s="8">
        <v>999968604</v>
      </c>
      <c r="H14" s="8">
        <f t="shared" si="0"/>
        <v>1016068099</v>
      </c>
    </row>
    <row r="15" spans="1:8" ht="45" x14ac:dyDescent="0.25">
      <c r="A15" s="2">
        <f t="shared" si="1"/>
        <v>12</v>
      </c>
      <c r="B15" s="2" t="s">
        <v>20</v>
      </c>
      <c r="C15" s="2" t="s">
        <v>55</v>
      </c>
      <c r="D15" s="2" t="s">
        <v>56</v>
      </c>
      <c r="E15" s="4" t="s">
        <v>57</v>
      </c>
      <c r="F15" s="8">
        <v>908411600</v>
      </c>
      <c r="H15" s="8">
        <f t="shared" si="0"/>
        <v>923037027</v>
      </c>
    </row>
    <row r="16" spans="1:8" ht="60" x14ac:dyDescent="0.25">
      <c r="A16" s="2">
        <f t="shared" si="1"/>
        <v>13</v>
      </c>
      <c r="B16" s="2" t="s">
        <v>58</v>
      </c>
      <c r="C16" s="2" t="s">
        <v>59</v>
      </c>
      <c r="D16" s="2" t="s">
        <v>56</v>
      </c>
      <c r="E16" s="4" t="s">
        <v>60</v>
      </c>
      <c r="F16" s="58">
        <v>550388000</v>
      </c>
      <c r="G16" s="59"/>
      <c r="H16" s="58">
        <f t="shared" si="0"/>
        <v>559249247</v>
      </c>
    </row>
    <row r="17" spans="1:8" x14ac:dyDescent="0.25">
      <c r="A17" s="105" t="s">
        <v>61</v>
      </c>
      <c r="B17" s="106"/>
      <c r="C17" s="106"/>
      <c r="D17" s="106"/>
      <c r="E17" s="107"/>
      <c r="F17" s="60">
        <f>SUM(F4:F16)</f>
        <v>11648893189</v>
      </c>
      <c r="G17" s="59"/>
      <c r="H17" s="60">
        <f>SUM(H4:H16)</f>
        <v>11836440371</v>
      </c>
    </row>
    <row r="18" spans="1:8" ht="5.25" customHeight="1" x14ac:dyDescent="0.25">
      <c r="A18" s="51"/>
      <c r="B18" s="52"/>
      <c r="C18" s="52"/>
      <c r="D18" s="52"/>
      <c r="E18" s="53"/>
      <c r="F18" s="61"/>
      <c r="G18" s="59"/>
      <c r="H18" s="50"/>
    </row>
    <row r="19" spans="1:8" ht="15" customHeight="1" x14ac:dyDescent="0.25">
      <c r="A19" s="105" t="s">
        <v>62</v>
      </c>
      <c r="B19" s="106"/>
      <c r="C19" s="106"/>
      <c r="D19" s="106"/>
      <c r="E19" s="107"/>
      <c r="F19" s="60"/>
      <c r="G19" s="59"/>
      <c r="H19" s="58">
        <f>+E50</f>
        <v>2767266231.7106004</v>
      </c>
    </row>
    <row r="20" spans="1:8" ht="6" customHeight="1" x14ac:dyDescent="0.25">
      <c r="A20" s="45"/>
      <c r="B20" s="48"/>
      <c r="C20" s="48"/>
      <c r="D20" s="48"/>
      <c r="E20" s="49"/>
      <c r="F20" s="40"/>
      <c r="G20" s="59"/>
      <c r="H20" s="50"/>
    </row>
    <row r="21" spans="1:8" x14ac:dyDescent="0.25">
      <c r="A21" s="105" t="s">
        <v>63</v>
      </c>
      <c r="B21" s="106"/>
      <c r="C21" s="106"/>
      <c r="D21" s="106"/>
      <c r="E21" s="107"/>
      <c r="F21" s="60">
        <f>+F17+F19</f>
        <v>11648893189</v>
      </c>
      <c r="G21" s="59"/>
      <c r="H21" s="60">
        <f>+H17+H19</f>
        <v>14603706602.7106</v>
      </c>
    </row>
    <row r="22" spans="1:8" x14ac:dyDescent="0.25">
      <c r="F22" s="9"/>
    </row>
    <row r="23" spans="1:8" x14ac:dyDescent="0.25">
      <c r="B23" s="75" t="s">
        <v>64</v>
      </c>
      <c r="F23" s="36"/>
    </row>
    <row r="24" spans="1:8" x14ac:dyDescent="0.25">
      <c r="B24" s="75" t="s">
        <v>65</v>
      </c>
      <c r="C24" s="75"/>
      <c r="D24" s="75"/>
      <c r="E24" s="76">
        <f>+H17</f>
        <v>11836440371</v>
      </c>
    </row>
    <row r="26" spans="1:8" x14ac:dyDescent="0.25">
      <c r="B26" s="10" t="s">
        <v>66</v>
      </c>
      <c r="C26" s="10" t="s">
        <v>67</v>
      </c>
      <c r="D26" s="10" t="s">
        <v>6</v>
      </c>
      <c r="E26" s="11" t="s">
        <v>68</v>
      </c>
    </row>
    <row r="27" spans="1:8" x14ac:dyDescent="0.25">
      <c r="B27" s="12" t="s">
        <v>69</v>
      </c>
      <c r="C27" s="12"/>
      <c r="D27" s="13">
        <f>+D28+D37</f>
        <v>0.23418804967661927</v>
      </c>
      <c r="E27" s="14">
        <f>+E28+E37</f>
        <v>1820351002.0306001</v>
      </c>
    </row>
    <row r="28" spans="1:8" x14ac:dyDescent="0.25">
      <c r="B28" s="15" t="s">
        <v>70</v>
      </c>
      <c r="C28" s="15"/>
      <c r="D28" s="16">
        <f>SUM(D29:D31)</f>
        <v>3.3600000000000005E-2</v>
      </c>
      <c r="E28" s="14">
        <f>SUM(E29:E36)</f>
        <v>397704396.46560001</v>
      </c>
    </row>
    <row r="29" spans="1:8" x14ac:dyDescent="0.25">
      <c r="B29" s="17" t="s">
        <v>71</v>
      </c>
      <c r="C29" s="18" t="s">
        <v>72</v>
      </c>
      <c r="D29" s="19">
        <v>9.5999999999999992E-3</v>
      </c>
      <c r="E29" s="20">
        <f>+E24*$D$29</f>
        <v>113629827.56159998</v>
      </c>
    </row>
    <row r="30" spans="1:8" x14ac:dyDescent="0.25">
      <c r="B30" s="17" t="s">
        <v>73</v>
      </c>
      <c r="C30" s="17" t="s">
        <v>74</v>
      </c>
      <c r="D30" s="21">
        <v>0.02</v>
      </c>
      <c r="E30" s="20">
        <f>+E24*D30</f>
        <v>236728807.42000002</v>
      </c>
    </row>
    <row r="31" spans="1:8" x14ac:dyDescent="0.25">
      <c r="B31" s="17" t="s">
        <v>75</v>
      </c>
      <c r="C31" s="17" t="s">
        <v>74</v>
      </c>
      <c r="D31" s="19">
        <v>4.0000000000000001E-3</v>
      </c>
      <c r="E31" s="20">
        <f>+E24*D31</f>
        <v>47345761.483999997</v>
      </c>
    </row>
    <row r="32" spans="1:8" s="27" customFormat="1" ht="22.5" hidden="1" x14ac:dyDescent="0.25">
      <c r="B32" s="77" t="s">
        <v>76</v>
      </c>
      <c r="C32" s="18"/>
      <c r="D32" s="78">
        <v>1.4999999999999999E-2</v>
      </c>
      <c r="E32" s="26"/>
    </row>
    <row r="33" spans="2:5" s="27" customFormat="1" hidden="1" x14ac:dyDescent="0.25">
      <c r="B33" s="77" t="s">
        <v>77</v>
      </c>
      <c r="C33" s="18"/>
      <c r="D33" s="78">
        <v>1.4999999999999999E-2</v>
      </c>
      <c r="E33" s="26"/>
    </row>
    <row r="34" spans="2:5" s="27" customFormat="1" ht="22.5" hidden="1" x14ac:dyDescent="0.25">
      <c r="B34" s="77" t="s">
        <v>78</v>
      </c>
      <c r="C34" s="18"/>
      <c r="D34" s="78">
        <v>4.0000000000000001E-3</v>
      </c>
      <c r="E34" s="26"/>
    </row>
    <row r="35" spans="2:5" s="27" customFormat="1" ht="22.5" hidden="1" x14ac:dyDescent="0.25">
      <c r="B35" s="77" t="s">
        <v>79</v>
      </c>
      <c r="C35" s="18"/>
      <c r="D35" s="78">
        <v>0.04</v>
      </c>
      <c r="E35" s="26"/>
    </row>
    <row r="36" spans="2:5" s="27" customFormat="1" ht="22.5" hidden="1" x14ac:dyDescent="0.25">
      <c r="B36" s="77" t="s">
        <v>80</v>
      </c>
      <c r="C36" s="18"/>
      <c r="D36" s="78">
        <v>1.4999999999999999E-2</v>
      </c>
      <c r="E36" s="26"/>
    </row>
    <row r="37" spans="2:5" x14ac:dyDescent="0.25">
      <c r="B37" s="15" t="s">
        <v>81</v>
      </c>
      <c r="C37" s="15"/>
      <c r="D37" s="16">
        <f>SUM(D38:D47)</f>
        <v>0.20058804967661928</v>
      </c>
      <c r="E37" s="24">
        <f>SUM(E38:E47)</f>
        <v>1422646605.5650001</v>
      </c>
    </row>
    <row r="38" spans="2:5" x14ac:dyDescent="0.25">
      <c r="B38" s="18" t="s">
        <v>82</v>
      </c>
      <c r="C38" s="18" t="s">
        <v>83</v>
      </c>
      <c r="D38" s="25">
        <f>+E38/E24</f>
        <v>4.6128733207471163E-2</v>
      </c>
      <c r="E38" s="26">
        <v>546000000</v>
      </c>
    </row>
    <row r="39" spans="2:5" x14ac:dyDescent="0.25">
      <c r="B39" s="18" t="s">
        <v>84</v>
      </c>
      <c r="C39" s="18" t="s">
        <v>83</v>
      </c>
      <c r="D39" s="25">
        <f>+E39/E24</f>
        <v>2.8150355136867016E-2</v>
      </c>
      <c r="E39" s="26">
        <v>333200000</v>
      </c>
    </row>
    <row r="40" spans="2:5" x14ac:dyDescent="0.25">
      <c r="B40" s="18" t="s">
        <v>85</v>
      </c>
      <c r="C40" s="28" t="s">
        <v>86</v>
      </c>
      <c r="D40" s="25">
        <f>+E40/E24</f>
        <v>2.3655760619215979E-3</v>
      </c>
      <c r="E40" s="26">
        <f>2000000*14</f>
        <v>28000000</v>
      </c>
    </row>
    <row r="41" spans="2:5" ht="27" x14ac:dyDescent="0.25">
      <c r="B41" s="18" t="s">
        <v>87</v>
      </c>
      <c r="C41" s="28" t="s">
        <v>88</v>
      </c>
      <c r="D41" s="25">
        <f>+E41/E24</f>
        <v>4.6128733207471163E-3</v>
      </c>
      <c r="E41" s="26">
        <f>(700000*6)*13</f>
        <v>54600000</v>
      </c>
    </row>
    <row r="42" spans="2:5" x14ac:dyDescent="0.25">
      <c r="B42" s="18" t="s">
        <v>89</v>
      </c>
      <c r="C42" s="18"/>
      <c r="D42" s="25">
        <f>+E42/E24</f>
        <v>1.4193456371529589E-3</v>
      </c>
      <c r="E42" s="26">
        <f>1200000*14</f>
        <v>16800000</v>
      </c>
    </row>
    <row r="43" spans="2:5" x14ac:dyDescent="0.25">
      <c r="B43" s="18" t="s">
        <v>90</v>
      </c>
      <c r="C43" s="18" t="s">
        <v>91</v>
      </c>
      <c r="D43" s="25">
        <v>3.0000000000000001E-3</v>
      </c>
      <c r="E43" s="26">
        <f>+$E$24*D43</f>
        <v>35509321.112999998</v>
      </c>
    </row>
    <row r="44" spans="2:5" x14ac:dyDescent="0.25">
      <c r="B44" s="18" t="s">
        <v>92</v>
      </c>
      <c r="C44" s="18" t="s">
        <v>91</v>
      </c>
      <c r="D44" s="25">
        <v>2E-3</v>
      </c>
      <c r="E44" s="26">
        <f>+$E$24*D44</f>
        <v>23672880.741999999</v>
      </c>
    </row>
    <row r="45" spans="2:5" x14ac:dyDescent="0.25">
      <c r="B45" s="18" t="s">
        <v>93</v>
      </c>
      <c r="C45" s="18" t="s">
        <v>91</v>
      </c>
      <c r="D45" s="25">
        <f>+E45/E24</f>
        <v>1.1532183301867791E-2</v>
      </c>
      <c r="E45" s="26">
        <f>3500000*3*13</f>
        <v>136500000</v>
      </c>
    </row>
    <row r="46" spans="2:5" ht="27" x14ac:dyDescent="0.25">
      <c r="B46" s="18" t="s">
        <v>94</v>
      </c>
      <c r="C46" s="28" t="s">
        <v>95</v>
      </c>
      <c r="D46" s="29">
        <v>0.01</v>
      </c>
      <c r="E46" s="26">
        <f>+$E$24*D46</f>
        <v>118364403.71000001</v>
      </c>
    </row>
    <row r="47" spans="2:5" ht="40.5" x14ac:dyDescent="0.25">
      <c r="B47" s="28" t="s">
        <v>96</v>
      </c>
      <c r="C47" s="28" t="s">
        <v>91</v>
      </c>
      <c r="D47" s="25">
        <f>+E47/E37</f>
        <v>9.1378983010591636E-2</v>
      </c>
      <c r="E47" s="26">
        <f>10000000*13</f>
        <v>130000000</v>
      </c>
    </row>
    <row r="48" spans="2:5" x14ac:dyDescent="0.25">
      <c r="B48" s="12" t="s">
        <v>97</v>
      </c>
      <c r="C48" s="12"/>
      <c r="D48" s="30">
        <v>0.03</v>
      </c>
      <c r="E48" s="14">
        <f>+E24*D48</f>
        <v>355093211.13</v>
      </c>
    </row>
    <row r="49" spans="2:5" ht="27" x14ac:dyDescent="0.25">
      <c r="B49" s="12" t="s">
        <v>98</v>
      </c>
      <c r="C49" s="12"/>
      <c r="D49" s="13">
        <v>0.05</v>
      </c>
      <c r="E49" s="14">
        <f>+E24*D49</f>
        <v>591822018.55000007</v>
      </c>
    </row>
    <row r="50" spans="2:5" ht="27" x14ac:dyDescent="0.25">
      <c r="B50" s="12" t="s">
        <v>99</v>
      </c>
      <c r="C50" s="12"/>
      <c r="D50" s="13"/>
      <c r="E50" s="14">
        <f>+E27+E48+E49</f>
        <v>2767266231.7106004</v>
      </c>
    </row>
    <row r="51" spans="2:5" x14ac:dyDescent="0.25">
      <c r="B51" s="31" t="s">
        <v>100</v>
      </c>
      <c r="C51" s="32"/>
      <c r="D51" s="32"/>
      <c r="E51" s="33">
        <f>+E50/E24</f>
        <v>0.23379209838209225</v>
      </c>
    </row>
    <row r="52" spans="2:5" ht="27" x14ac:dyDescent="0.25">
      <c r="B52" s="79" t="s">
        <v>101</v>
      </c>
      <c r="C52" s="32"/>
      <c r="D52" s="32"/>
      <c r="E52" s="34">
        <f>+E50+E24</f>
        <v>14603706602.7106</v>
      </c>
    </row>
  </sheetData>
  <mergeCells count="4">
    <mergeCell ref="A19:E19"/>
    <mergeCell ref="A17:E17"/>
    <mergeCell ref="A21:E21"/>
    <mergeCell ref="A1:H1"/>
  </mergeCells>
  <conditionalFormatting sqref="E4:E14">
    <cfRule type="duplicateValues" dxfId="2" priority="1"/>
  </conditionalFormatting>
  <pageMargins left="0.7" right="0.7" top="0.75" bottom="0.75" header="0.3" footer="0.3"/>
  <pageSetup orientation="portrait" r:id="rId1"/>
  <ignoredErrors>
    <ignoredError sqref="A6:A16" unlockedFormula="1"/>
    <ignoredError sqref="E45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16" workbookViewId="0">
      <selection activeCell="D2" sqref="D2"/>
    </sheetView>
  </sheetViews>
  <sheetFormatPr baseColWidth="10" defaultColWidth="11.42578125" defaultRowHeight="15" x14ac:dyDescent="0.25"/>
  <cols>
    <col min="1" max="1" width="33.42578125" customWidth="1"/>
    <col min="2" max="2" width="29.140625" customWidth="1"/>
    <col min="3" max="3" width="15.7109375" customWidth="1"/>
    <col min="4" max="4" width="14.28515625" customWidth="1"/>
    <col min="5" max="5" width="23.42578125" customWidth="1"/>
  </cols>
  <sheetData>
    <row r="1" spans="1:5" x14ac:dyDescent="0.25">
      <c r="A1" s="93" t="s">
        <v>102</v>
      </c>
      <c r="B1" s="93" t="s">
        <v>103</v>
      </c>
      <c r="C1" s="94" t="s">
        <v>104</v>
      </c>
      <c r="D1" s="93" t="s">
        <v>105</v>
      </c>
      <c r="E1" s="92">
        <f>SUM(E2:E6)</f>
        <v>333200000</v>
      </c>
    </row>
    <row r="2" spans="1:5" x14ac:dyDescent="0.25">
      <c r="A2" s="3" t="s">
        <v>106</v>
      </c>
      <c r="B2" s="3" t="s">
        <v>107</v>
      </c>
      <c r="C2" s="83">
        <v>8000000</v>
      </c>
      <c r="D2" s="3">
        <v>14</v>
      </c>
      <c r="E2" s="84">
        <f>+C2*D2</f>
        <v>112000000</v>
      </c>
    </row>
    <row r="3" spans="1:5" x14ac:dyDescent="0.25">
      <c r="A3" s="3" t="s">
        <v>108</v>
      </c>
      <c r="B3" s="3" t="s">
        <v>109</v>
      </c>
      <c r="C3" s="83">
        <v>5500000</v>
      </c>
      <c r="D3" s="3">
        <v>14</v>
      </c>
      <c r="E3" s="84">
        <f t="shared" ref="E3:E21" si="0">+C3*D3</f>
        <v>77000000</v>
      </c>
    </row>
    <row r="4" spans="1:5" x14ac:dyDescent="0.25">
      <c r="A4" s="3" t="s">
        <v>110</v>
      </c>
      <c r="B4" s="3" t="s">
        <v>111</v>
      </c>
      <c r="C4" s="83">
        <v>5500000</v>
      </c>
      <c r="D4" s="3">
        <v>14</v>
      </c>
      <c r="E4" s="84">
        <f t="shared" si="0"/>
        <v>77000000</v>
      </c>
    </row>
    <row r="5" spans="1:5" x14ac:dyDescent="0.25">
      <c r="A5" s="3" t="s">
        <v>112</v>
      </c>
      <c r="B5" s="3" t="s">
        <v>113</v>
      </c>
      <c r="C5" s="83">
        <v>1800000</v>
      </c>
      <c r="D5" s="3">
        <v>14</v>
      </c>
      <c r="E5" s="84">
        <f t="shared" si="0"/>
        <v>25200000</v>
      </c>
    </row>
    <row r="6" spans="1:5" x14ac:dyDescent="0.25">
      <c r="A6" s="3" t="s">
        <v>114</v>
      </c>
      <c r="B6" s="3" t="s">
        <v>115</v>
      </c>
      <c r="C6" s="83">
        <v>3000000</v>
      </c>
      <c r="D6" s="3">
        <v>14</v>
      </c>
      <c r="E6" s="84">
        <f t="shared" si="0"/>
        <v>42000000</v>
      </c>
    </row>
    <row r="7" spans="1:5" x14ac:dyDescent="0.25">
      <c r="A7" s="90" t="s">
        <v>116</v>
      </c>
      <c r="B7" s="90"/>
      <c r="C7" s="91"/>
      <c r="D7" s="90"/>
      <c r="E7" s="92">
        <f>+SUM(E8:E21)</f>
        <v>546000000</v>
      </c>
    </row>
    <row r="8" spans="1:5" x14ac:dyDescent="0.25">
      <c r="A8" s="3" t="s">
        <v>117</v>
      </c>
      <c r="B8" s="3" t="s">
        <v>118</v>
      </c>
      <c r="C8" s="83">
        <v>6500000</v>
      </c>
      <c r="D8" s="3">
        <v>12</v>
      </c>
      <c r="E8" s="84">
        <f t="shared" si="0"/>
        <v>78000000</v>
      </c>
    </row>
    <row r="9" spans="1:5" x14ac:dyDescent="0.25">
      <c r="A9" s="3" t="s">
        <v>119</v>
      </c>
      <c r="B9" s="3" t="s">
        <v>120</v>
      </c>
      <c r="C9" s="83">
        <v>6500000</v>
      </c>
      <c r="D9" s="3">
        <v>12</v>
      </c>
      <c r="E9" s="84">
        <f t="shared" si="0"/>
        <v>78000000</v>
      </c>
    </row>
    <row r="10" spans="1:5" x14ac:dyDescent="0.25">
      <c r="A10" s="3" t="s">
        <v>121</v>
      </c>
      <c r="B10" s="3" t="s">
        <v>122</v>
      </c>
      <c r="C10" s="83">
        <v>6500000</v>
      </c>
      <c r="D10" s="3">
        <v>12</v>
      </c>
      <c r="E10" s="84">
        <f t="shared" si="0"/>
        <v>78000000</v>
      </c>
    </row>
    <row r="11" spans="1:5" x14ac:dyDescent="0.25">
      <c r="A11" s="3"/>
      <c r="B11" s="3"/>
      <c r="C11" s="83"/>
      <c r="D11" s="3"/>
      <c r="E11" s="84"/>
    </row>
    <row r="12" spans="1:5" x14ac:dyDescent="0.25">
      <c r="A12" s="3" t="s">
        <v>123</v>
      </c>
      <c r="B12" s="3"/>
      <c r="C12" s="83"/>
      <c r="D12" s="3"/>
      <c r="E12" s="84"/>
    </row>
    <row r="13" spans="1:5" x14ac:dyDescent="0.25">
      <c r="A13" s="85" t="s">
        <v>124</v>
      </c>
      <c r="B13" s="85" t="s">
        <v>125</v>
      </c>
      <c r="C13" s="83">
        <v>6500000</v>
      </c>
      <c r="D13" s="86">
        <v>12</v>
      </c>
      <c r="E13" s="84">
        <f t="shared" si="0"/>
        <v>78000000</v>
      </c>
    </row>
    <row r="14" spans="1:5" x14ac:dyDescent="0.25">
      <c r="A14" s="85"/>
      <c r="B14" s="85"/>
      <c r="C14" s="87"/>
      <c r="D14" s="86"/>
      <c r="E14" s="84"/>
    </row>
    <row r="15" spans="1:5" x14ac:dyDescent="0.25">
      <c r="A15" s="3" t="s">
        <v>126</v>
      </c>
      <c r="B15" s="3"/>
      <c r="C15" s="83"/>
      <c r="D15" s="88"/>
      <c r="E15" s="84"/>
    </row>
    <row r="16" spans="1:5" x14ac:dyDescent="0.25">
      <c r="A16" s="85" t="s">
        <v>127</v>
      </c>
      <c r="B16" s="85" t="s">
        <v>125</v>
      </c>
      <c r="C16" s="83">
        <v>6500000</v>
      </c>
      <c r="D16" s="86">
        <v>12</v>
      </c>
      <c r="E16" s="84">
        <f t="shared" si="0"/>
        <v>78000000</v>
      </c>
    </row>
    <row r="17" spans="1:5" x14ac:dyDescent="0.25">
      <c r="A17" s="3"/>
      <c r="B17" s="3"/>
      <c r="C17" s="83"/>
      <c r="D17" s="88"/>
      <c r="E17" s="84"/>
    </row>
    <row r="18" spans="1:5" x14ac:dyDescent="0.25">
      <c r="A18" s="3" t="s">
        <v>128</v>
      </c>
      <c r="B18" s="3"/>
      <c r="C18" s="83"/>
      <c r="D18" s="88"/>
      <c r="E18" s="84"/>
    </row>
    <row r="19" spans="1:5" x14ac:dyDescent="0.25">
      <c r="A19" s="85" t="s">
        <v>127</v>
      </c>
      <c r="B19" s="85" t="s">
        <v>125</v>
      </c>
      <c r="C19" s="83">
        <v>6500000</v>
      </c>
      <c r="D19" s="86">
        <v>12</v>
      </c>
      <c r="E19" s="84">
        <f t="shared" si="0"/>
        <v>78000000</v>
      </c>
    </row>
    <row r="20" spans="1:5" x14ac:dyDescent="0.25">
      <c r="A20" s="3"/>
      <c r="B20" s="3"/>
      <c r="C20" s="83"/>
      <c r="D20" s="88"/>
      <c r="E20" s="84"/>
    </row>
    <row r="21" spans="1:5" x14ac:dyDescent="0.25">
      <c r="A21" s="3" t="s">
        <v>129</v>
      </c>
      <c r="B21" s="3"/>
      <c r="C21" s="83">
        <v>6500000</v>
      </c>
      <c r="D21" s="86">
        <v>12</v>
      </c>
      <c r="E21" s="84">
        <f t="shared" si="0"/>
        <v>78000000</v>
      </c>
    </row>
    <row r="22" spans="1:5" x14ac:dyDescent="0.25">
      <c r="A22" s="85" t="s">
        <v>127</v>
      </c>
      <c r="B22" s="85"/>
      <c r="C22" s="87"/>
      <c r="D22" s="85"/>
      <c r="E22" s="89"/>
    </row>
    <row r="23" spans="1:5" x14ac:dyDescent="0.25">
      <c r="C23" s="80"/>
      <c r="E23" s="8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opLeftCell="A77" workbookViewId="0">
      <selection activeCell="H6" sqref="H6"/>
    </sheetView>
  </sheetViews>
  <sheetFormatPr baseColWidth="10" defaultColWidth="11.42578125" defaultRowHeight="15" x14ac:dyDescent="0.25"/>
  <cols>
    <col min="1" max="1" width="5.5703125" customWidth="1"/>
    <col min="2" max="2" width="24.28515625" customWidth="1"/>
    <col min="3" max="3" width="21.7109375" customWidth="1"/>
    <col min="4" max="4" width="17.5703125" customWidth="1"/>
    <col min="5" max="5" width="41.140625" customWidth="1"/>
    <col min="6" max="6" width="24.140625" customWidth="1"/>
    <col min="7" max="7" width="0.7109375" customWidth="1"/>
    <col min="8" max="8" width="18.85546875" customWidth="1"/>
  </cols>
  <sheetData>
    <row r="1" spans="1:8" x14ac:dyDescent="0.25">
      <c r="A1" s="108" t="s">
        <v>130</v>
      </c>
      <c r="B1" s="108"/>
      <c r="C1" s="108"/>
      <c r="D1" s="108"/>
      <c r="E1" s="108"/>
      <c r="F1" s="108"/>
      <c r="G1" s="108"/>
      <c r="H1" s="108"/>
    </row>
    <row r="2" spans="1:8" x14ac:dyDescent="0.25">
      <c r="E2" s="36"/>
      <c r="G2" s="35"/>
    </row>
    <row r="3" spans="1:8" ht="25.5" x14ac:dyDescent="0.25">
      <c r="A3" s="41" t="s">
        <v>13</v>
      </c>
      <c r="B3" s="41" t="s">
        <v>14</v>
      </c>
      <c r="C3" s="41" t="s">
        <v>15</v>
      </c>
      <c r="D3" s="42" t="s">
        <v>16</v>
      </c>
      <c r="E3" s="41" t="s">
        <v>17</v>
      </c>
      <c r="F3" s="41" t="s">
        <v>18</v>
      </c>
      <c r="H3" s="54" t="s">
        <v>19</v>
      </c>
    </row>
    <row r="4" spans="1:8" ht="38.25" x14ac:dyDescent="0.25">
      <c r="A4" s="43">
        <v>1</v>
      </c>
      <c r="B4" s="43" t="s">
        <v>131</v>
      </c>
      <c r="C4" s="46" t="s">
        <v>132</v>
      </c>
      <c r="D4" s="43" t="s">
        <v>133</v>
      </c>
      <c r="E4" s="44" t="s">
        <v>134</v>
      </c>
      <c r="F4" s="55">
        <v>651927065</v>
      </c>
      <c r="H4" s="55">
        <f>+ROUND(F4*1.61%,0)+F4</f>
        <v>662423091</v>
      </c>
    </row>
    <row r="5" spans="1:8" ht="63.75" x14ac:dyDescent="0.25">
      <c r="A5" s="43">
        <v>2</v>
      </c>
      <c r="B5" s="43" t="s">
        <v>135</v>
      </c>
      <c r="C5" s="46" t="s">
        <v>136</v>
      </c>
      <c r="D5" s="43" t="s">
        <v>36</v>
      </c>
      <c r="E5" s="44" t="s">
        <v>137</v>
      </c>
      <c r="F5" s="55">
        <v>305476200</v>
      </c>
      <c r="H5" s="55">
        <f t="shared" ref="H5:H14" si="0">+ROUND(F5*1.61%,0)+F5</f>
        <v>310394367</v>
      </c>
    </row>
    <row r="6" spans="1:8" ht="38.25" x14ac:dyDescent="0.25">
      <c r="A6" s="43">
        <v>3</v>
      </c>
      <c r="B6" s="43" t="s">
        <v>138</v>
      </c>
      <c r="C6" s="43" t="s">
        <v>139</v>
      </c>
      <c r="D6" s="43" t="s">
        <v>140</v>
      </c>
      <c r="E6" s="44" t="s">
        <v>141</v>
      </c>
      <c r="F6" s="55">
        <v>529905997</v>
      </c>
      <c r="H6" s="55">
        <f t="shared" si="0"/>
        <v>538437484</v>
      </c>
    </row>
    <row r="7" spans="1:8" ht="63.75" x14ac:dyDescent="0.25">
      <c r="A7" s="43">
        <v>4</v>
      </c>
      <c r="B7" s="43" t="s">
        <v>142</v>
      </c>
      <c r="C7" s="43" t="s">
        <v>143</v>
      </c>
      <c r="D7" s="43" t="s">
        <v>36</v>
      </c>
      <c r="E7" s="44" t="s">
        <v>144</v>
      </c>
      <c r="F7" s="55">
        <v>743310312</v>
      </c>
      <c r="H7" s="55">
        <f t="shared" si="0"/>
        <v>755277608</v>
      </c>
    </row>
    <row r="8" spans="1:8" ht="51" x14ac:dyDescent="0.25">
      <c r="A8" s="43">
        <v>5</v>
      </c>
      <c r="B8" s="43" t="s">
        <v>131</v>
      </c>
      <c r="C8" s="43" t="s">
        <v>145</v>
      </c>
      <c r="D8" s="43" t="s">
        <v>146</v>
      </c>
      <c r="E8" s="44" t="s">
        <v>147</v>
      </c>
      <c r="F8" s="55">
        <v>884950000</v>
      </c>
      <c r="H8" s="55">
        <f t="shared" si="0"/>
        <v>899197695</v>
      </c>
    </row>
    <row r="9" spans="1:8" ht="76.5" x14ac:dyDescent="0.25">
      <c r="A9" s="43">
        <v>6</v>
      </c>
      <c r="B9" s="43" t="s">
        <v>142</v>
      </c>
      <c r="C9" s="43" t="s">
        <v>148</v>
      </c>
      <c r="D9" s="43" t="s">
        <v>33</v>
      </c>
      <c r="E9" s="44" t="s">
        <v>149</v>
      </c>
      <c r="F9" s="55">
        <v>795340000</v>
      </c>
      <c r="H9" s="55">
        <f t="shared" si="0"/>
        <v>808144974</v>
      </c>
    </row>
    <row r="10" spans="1:8" ht="44.25" customHeight="1" x14ac:dyDescent="0.25">
      <c r="A10" s="43">
        <v>7</v>
      </c>
      <c r="B10" s="43" t="s">
        <v>24</v>
      </c>
      <c r="C10" s="43" t="s">
        <v>150</v>
      </c>
      <c r="D10" s="43" t="s">
        <v>42</v>
      </c>
      <c r="E10" s="44" t="s">
        <v>151</v>
      </c>
      <c r="F10" s="55">
        <v>1005895500</v>
      </c>
      <c r="H10" s="55">
        <f t="shared" si="0"/>
        <v>1022090418</v>
      </c>
    </row>
    <row r="11" spans="1:8" ht="56.25" customHeight="1" x14ac:dyDescent="0.25">
      <c r="A11" s="43">
        <v>8</v>
      </c>
      <c r="B11" s="43" t="s">
        <v>142</v>
      </c>
      <c r="C11" s="43" t="s">
        <v>152</v>
      </c>
      <c r="D11" s="43" t="s">
        <v>153</v>
      </c>
      <c r="E11" s="44" t="s">
        <v>154</v>
      </c>
      <c r="F11" s="55">
        <v>911594228</v>
      </c>
      <c r="H11" s="55">
        <f t="shared" si="0"/>
        <v>926270895</v>
      </c>
    </row>
    <row r="12" spans="1:8" ht="51" x14ac:dyDescent="0.25">
      <c r="A12" s="43">
        <v>9</v>
      </c>
      <c r="B12" s="43" t="s">
        <v>138</v>
      </c>
      <c r="C12" s="43" t="s">
        <v>155</v>
      </c>
      <c r="D12" s="43" t="s">
        <v>42</v>
      </c>
      <c r="E12" s="44" t="s">
        <v>156</v>
      </c>
      <c r="F12" s="55">
        <v>929508954</v>
      </c>
      <c r="H12" s="55">
        <f t="shared" si="0"/>
        <v>944474048</v>
      </c>
    </row>
    <row r="13" spans="1:8" ht="38.25" x14ac:dyDescent="0.25">
      <c r="A13" s="43">
        <v>10</v>
      </c>
      <c r="B13" s="43" t="s">
        <v>142</v>
      </c>
      <c r="C13" s="43" t="s">
        <v>157</v>
      </c>
      <c r="D13" s="43" t="s">
        <v>33</v>
      </c>
      <c r="E13" s="44" t="s">
        <v>158</v>
      </c>
      <c r="F13" s="55">
        <v>973185574</v>
      </c>
      <c r="H13" s="55">
        <f t="shared" si="0"/>
        <v>988853862</v>
      </c>
    </row>
    <row r="14" spans="1:8" ht="51" x14ac:dyDescent="0.25">
      <c r="A14" s="43">
        <v>11</v>
      </c>
      <c r="B14" s="43" t="s">
        <v>24</v>
      </c>
      <c r="C14" s="43" t="s">
        <v>159</v>
      </c>
      <c r="D14" s="43" t="s">
        <v>42</v>
      </c>
      <c r="E14" s="44" t="s">
        <v>160</v>
      </c>
      <c r="F14" s="55">
        <v>982240000</v>
      </c>
      <c r="H14" s="55">
        <f t="shared" si="0"/>
        <v>998054064</v>
      </c>
    </row>
    <row r="15" spans="1:8" x14ac:dyDescent="0.25">
      <c r="A15" s="105" t="s">
        <v>61</v>
      </c>
      <c r="B15" s="106"/>
      <c r="C15" s="106"/>
      <c r="D15" s="106"/>
      <c r="E15" s="107"/>
      <c r="F15" s="56">
        <f>SUM(F4:F14)</f>
        <v>8713333830</v>
      </c>
      <c r="G15" s="56">
        <f>SUM(G4:G14)</f>
        <v>0</v>
      </c>
      <c r="H15" s="56">
        <f>SUM(H4:H14)</f>
        <v>8853618506</v>
      </c>
    </row>
    <row r="16" spans="1:8" ht="6" customHeight="1" x14ac:dyDescent="0.25">
      <c r="A16" s="51"/>
      <c r="B16" s="52"/>
      <c r="C16" s="52"/>
      <c r="D16" s="52"/>
      <c r="E16" s="53"/>
      <c r="F16" s="57"/>
      <c r="H16" s="57"/>
    </row>
    <row r="17" spans="1:8" ht="15" customHeight="1" x14ac:dyDescent="0.25">
      <c r="A17" s="105" t="s">
        <v>62</v>
      </c>
      <c r="B17" s="106"/>
      <c r="C17" s="106"/>
      <c r="D17" s="106"/>
      <c r="E17" s="107"/>
      <c r="F17" s="56"/>
      <c r="H17" s="56">
        <f>+E48</f>
        <v>2433275339.8716002</v>
      </c>
    </row>
    <row r="18" spans="1:8" ht="5.25" customHeight="1" x14ac:dyDescent="0.25">
      <c r="A18" s="45"/>
      <c r="B18" s="48"/>
      <c r="C18" s="48"/>
      <c r="D18" s="48"/>
      <c r="E18" s="49"/>
      <c r="F18" s="57"/>
      <c r="H18" s="57"/>
    </row>
    <row r="19" spans="1:8" x14ac:dyDescent="0.25">
      <c r="A19" s="105" t="s">
        <v>63</v>
      </c>
      <c r="B19" s="106"/>
      <c r="C19" s="106"/>
      <c r="D19" s="106"/>
      <c r="E19" s="107"/>
      <c r="F19" s="56">
        <f>+F15+F17</f>
        <v>8713333830</v>
      </c>
      <c r="H19" s="56">
        <f>+H15+H17</f>
        <v>11286893845.871601</v>
      </c>
    </row>
    <row r="20" spans="1:8" x14ac:dyDescent="0.25">
      <c r="F20" s="35"/>
      <c r="H20" s="63"/>
    </row>
    <row r="21" spans="1:8" x14ac:dyDescent="0.25">
      <c r="B21" s="75" t="s">
        <v>64</v>
      </c>
      <c r="C21" s="75"/>
      <c r="D21" s="75"/>
      <c r="E21" s="75"/>
      <c r="F21" s="35"/>
      <c r="H21" s="63"/>
    </row>
    <row r="22" spans="1:8" x14ac:dyDescent="0.25">
      <c r="B22" s="75" t="s">
        <v>65</v>
      </c>
      <c r="C22" s="75"/>
      <c r="D22" s="75"/>
      <c r="E22" s="76">
        <f>+H15</f>
        <v>8853618506</v>
      </c>
      <c r="F22" s="36"/>
      <c r="H22" s="9"/>
    </row>
    <row r="23" spans="1:8" x14ac:dyDescent="0.25">
      <c r="F23" s="36"/>
      <c r="H23" s="36"/>
    </row>
    <row r="24" spans="1:8" x14ac:dyDescent="0.25">
      <c r="B24" s="10" t="s">
        <v>66</v>
      </c>
      <c r="C24" s="10" t="s">
        <v>67</v>
      </c>
      <c r="D24" s="10" t="s">
        <v>6</v>
      </c>
      <c r="E24" s="11" t="s">
        <v>68</v>
      </c>
    </row>
    <row r="25" spans="1:8" x14ac:dyDescent="0.25">
      <c r="B25" s="12" t="s">
        <v>69</v>
      </c>
      <c r="C25" s="12"/>
      <c r="D25" s="13">
        <f>+D26+D35</f>
        <v>0.25946725834838269</v>
      </c>
      <c r="E25" s="14">
        <f>+E26+E35</f>
        <v>1724985859.3915999</v>
      </c>
    </row>
    <row r="26" spans="1:8" x14ac:dyDescent="0.25">
      <c r="B26" s="15" t="s">
        <v>70</v>
      </c>
      <c r="C26" s="15"/>
      <c r="D26" s="16">
        <f>SUM(D27:D29)</f>
        <v>3.3600000000000005E-2</v>
      </c>
      <c r="E26" s="14">
        <f>SUM(E27:E34)</f>
        <v>297481581.80159998</v>
      </c>
    </row>
    <row r="27" spans="1:8" x14ac:dyDescent="0.25">
      <c r="B27" s="17" t="s">
        <v>71</v>
      </c>
      <c r="C27" s="18" t="s">
        <v>72</v>
      </c>
      <c r="D27" s="19">
        <v>9.5999999999999992E-3</v>
      </c>
      <c r="E27" s="20">
        <f>+E22*$D$27</f>
        <v>84994737.657599986</v>
      </c>
    </row>
    <row r="28" spans="1:8" x14ac:dyDescent="0.25">
      <c r="B28" s="17" t="s">
        <v>73</v>
      </c>
      <c r="C28" s="17" t="s">
        <v>74</v>
      </c>
      <c r="D28" s="21">
        <v>0.02</v>
      </c>
      <c r="E28" s="20">
        <f>+E22*D28</f>
        <v>177072370.12</v>
      </c>
    </row>
    <row r="29" spans="1:8" x14ac:dyDescent="0.25">
      <c r="B29" s="17" t="s">
        <v>75</v>
      </c>
      <c r="C29" s="17" t="s">
        <v>74</v>
      </c>
      <c r="D29" s="19">
        <v>4.0000000000000001E-3</v>
      </c>
      <c r="E29" s="20">
        <f>+E22*D29</f>
        <v>35414474.024000004</v>
      </c>
    </row>
    <row r="30" spans="1:8" ht="22.5" hidden="1" x14ac:dyDescent="0.25">
      <c r="B30" s="77" t="s">
        <v>76</v>
      </c>
      <c r="C30" s="18"/>
      <c r="D30" s="78">
        <v>1.4999999999999999E-2</v>
      </c>
      <c r="E30" s="26"/>
    </row>
    <row r="31" spans="1:8" hidden="1" x14ac:dyDescent="0.25">
      <c r="B31" s="77" t="s">
        <v>77</v>
      </c>
      <c r="C31" s="18"/>
      <c r="D31" s="78">
        <v>1.4999999999999999E-2</v>
      </c>
      <c r="E31" s="26"/>
    </row>
    <row r="32" spans="1:8" hidden="1" x14ac:dyDescent="0.25">
      <c r="B32" s="77" t="s">
        <v>78</v>
      </c>
      <c r="C32" s="18"/>
      <c r="D32" s="78">
        <v>4.0000000000000001E-3</v>
      </c>
      <c r="E32" s="26"/>
    </row>
    <row r="33" spans="2:5" ht="22.5" hidden="1" x14ac:dyDescent="0.25">
      <c r="B33" s="77" t="s">
        <v>79</v>
      </c>
      <c r="C33" s="18"/>
      <c r="D33" s="78">
        <v>0.04</v>
      </c>
      <c r="E33" s="26"/>
    </row>
    <row r="34" spans="2:5" hidden="1" x14ac:dyDescent="0.25">
      <c r="B34" s="77" t="s">
        <v>80</v>
      </c>
      <c r="C34" s="18"/>
      <c r="D34" s="78">
        <v>1.4999999999999999E-2</v>
      </c>
      <c r="E34" s="26"/>
    </row>
    <row r="35" spans="2:5" x14ac:dyDescent="0.25">
      <c r="B35" s="15" t="s">
        <v>81</v>
      </c>
      <c r="C35" s="15"/>
      <c r="D35" s="16">
        <f>SUM(D36:D45)</f>
        <v>0.22586725834838267</v>
      </c>
      <c r="E35" s="24">
        <f>SUM(E36:E45)</f>
        <v>1427504277.5899999</v>
      </c>
    </row>
    <row r="36" spans="2:5" x14ac:dyDescent="0.25">
      <c r="B36" s="18" t="s">
        <v>82</v>
      </c>
      <c r="C36" s="18" t="s">
        <v>83</v>
      </c>
      <c r="D36" s="25">
        <f>+E36/E22</f>
        <v>7.0479657506941601E-2</v>
      </c>
      <c r="E36" s="26">
        <f>+'Equipo Impl.Zona 2'!E8</f>
        <v>624000000</v>
      </c>
    </row>
    <row r="37" spans="2:5" x14ac:dyDescent="0.25">
      <c r="B37" s="18" t="s">
        <v>84</v>
      </c>
      <c r="C37" s="18" t="s">
        <v>83</v>
      </c>
      <c r="D37" s="25">
        <f>+E37/E22</f>
        <v>3.7634329938001511E-2</v>
      </c>
      <c r="E37" s="26">
        <v>333200000</v>
      </c>
    </row>
    <row r="38" spans="2:5" ht="27" x14ac:dyDescent="0.25">
      <c r="B38" s="18" t="s">
        <v>85</v>
      </c>
      <c r="C38" s="28" t="s">
        <v>86</v>
      </c>
      <c r="D38" s="25">
        <f>+E38/E22</f>
        <v>3.1625487342858412E-3</v>
      </c>
      <c r="E38" s="26">
        <f>2000000*14</f>
        <v>28000000</v>
      </c>
    </row>
    <row r="39" spans="2:5" ht="27" x14ac:dyDescent="0.25">
      <c r="B39" s="18" t="s">
        <v>87</v>
      </c>
      <c r="C39" s="28" t="s">
        <v>88</v>
      </c>
      <c r="D39" s="25">
        <f>+E39/E22</f>
        <v>5.2182054115716379E-3</v>
      </c>
      <c r="E39" s="26">
        <f>(700000*6)*11</f>
        <v>46200000</v>
      </c>
    </row>
    <row r="40" spans="2:5" x14ac:dyDescent="0.25">
      <c r="B40" s="18" t="s">
        <v>89</v>
      </c>
      <c r="C40" s="18"/>
      <c r="D40" s="25">
        <f>+E40/E22</f>
        <v>1.8975292405715048E-3</v>
      </c>
      <c r="E40" s="26">
        <f>1200000*14</f>
        <v>16800000</v>
      </c>
    </row>
    <row r="41" spans="2:5" x14ac:dyDescent="0.25">
      <c r="B41" s="18" t="s">
        <v>90</v>
      </c>
      <c r="C41" s="18" t="s">
        <v>91</v>
      </c>
      <c r="D41" s="25">
        <v>3.0000000000000001E-3</v>
      </c>
      <c r="E41" s="26">
        <f>+$E$22*D41</f>
        <v>26560855.517999999</v>
      </c>
    </row>
    <row r="42" spans="2:5" x14ac:dyDescent="0.25">
      <c r="B42" s="18" t="s">
        <v>92</v>
      </c>
      <c r="C42" s="18" t="s">
        <v>91</v>
      </c>
      <c r="D42" s="25">
        <v>2E-3</v>
      </c>
      <c r="E42" s="26">
        <f>+$E$22*D42</f>
        <v>17707237.012000002</v>
      </c>
    </row>
    <row r="43" spans="2:5" x14ac:dyDescent="0.25">
      <c r="B43" s="18" t="s">
        <v>93</v>
      </c>
      <c r="C43" s="18" t="s">
        <v>91</v>
      </c>
      <c r="D43" s="25">
        <f>+E43/E22</f>
        <v>1.5417425079643476E-2</v>
      </c>
      <c r="E43" s="26">
        <f>3500000*3*13</f>
        <v>136500000</v>
      </c>
    </row>
    <row r="44" spans="2:5" ht="27" x14ac:dyDescent="0.25">
      <c r="B44" s="18" t="s">
        <v>94</v>
      </c>
      <c r="C44" s="28" t="s">
        <v>95</v>
      </c>
      <c r="D44" s="29">
        <v>0.01</v>
      </c>
      <c r="E44" s="26">
        <f>+$E$22*D44</f>
        <v>88536185.060000002</v>
      </c>
    </row>
    <row r="45" spans="2:5" ht="40.5" x14ac:dyDescent="0.25">
      <c r="B45" s="28" t="s">
        <v>96</v>
      </c>
      <c r="C45" s="28" t="s">
        <v>91</v>
      </c>
      <c r="D45" s="25">
        <f>+E45/E35</f>
        <v>7.7057562437367069E-2</v>
      </c>
      <c r="E45" s="26">
        <f>10000000*11</f>
        <v>110000000</v>
      </c>
    </row>
    <row r="46" spans="2:5" x14ac:dyDescent="0.25">
      <c r="B46" s="12" t="s">
        <v>97</v>
      </c>
      <c r="C46" s="12"/>
      <c r="D46" s="30">
        <v>0.03</v>
      </c>
      <c r="E46" s="14">
        <f>+E22*D46</f>
        <v>265608555.17999998</v>
      </c>
    </row>
    <row r="47" spans="2:5" ht="27" x14ac:dyDescent="0.25">
      <c r="B47" s="12" t="s">
        <v>98</v>
      </c>
      <c r="C47" s="12"/>
      <c r="D47" s="13">
        <v>0.05</v>
      </c>
      <c r="E47" s="14">
        <f>+E22*D47</f>
        <v>442680925.30000001</v>
      </c>
    </row>
    <row r="48" spans="2:5" ht="27" x14ac:dyDescent="0.25">
      <c r="B48" s="12" t="s">
        <v>99</v>
      </c>
      <c r="C48" s="12"/>
      <c r="D48" s="13"/>
      <c r="E48" s="14">
        <f>+E25+E46+E47</f>
        <v>2433275339.8716002</v>
      </c>
    </row>
    <row r="49" spans="2:5" x14ac:dyDescent="0.25">
      <c r="B49" s="31" t="s">
        <v>100</v>
      </c>
      <c r="C49" s="32"/>
      <c r="D49" s="32"/>
      <c r="E49" s="33">
        <f>+E48/E22</f>
        <v>0.27483399450999568</v>
      </c>
    </row>
    <row r="50" spans="2:5" ht="27" x14ac:dyDescent="0.25">
      <c r="B50" s="79" t="s">
        <v>101</v>
      </c>
      <c r="C50" s="32"/>
      <c r="D50" s="32"/>
      <c r="E50" s="34">
        <f>+E48+E22</f>
        <v>11286893845.871601</v>
      </c>
    </row>
    <row r="51" spans="2:5" x14ac:dyDescent="0.25">
      <c r="B51" s="75"/>
    </row>
  </sheetData>
  <mergeCells count="4">
    <mergeCell ref="A17:E17"/>
    <mergeCell ref="A15:E15"/>
    <mergeCell ref="A19:E19"/>
    <mergeCell ref="A1:H1"/>
  </mergeCells>
  <conditionalFormatting sqref="E4:E14">
    <cfRule type="duplicateValues" dxfId="1" priority="1"/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4"/>
  <sheetViews>
    <sheetView topLeftCell="A21" workbookViewId="0">
      <selection activeCell="F23" sqref="F23"/>
    </sheetView>
  </sheetViews>
  <sheetFormatPr baseColWidth="10" defaultColWidth="11.42578125" defaultRowHeight="15" x14ac:dyDescent="0.25"/>
  <cols>
    <col min="1" max="1" width="28.5703125" customWidth="1"/>
    <col min="2" max="2" width="18.5703125" customWidth="1"/>
    <col min="3" max="3" width="23.28515625" customWidth="1"/>
    <col min="5" max="5" width="17.28515625" customWidth="1"/>
  </cols>
  <sheetData>
    <row r="2" spans="1:5" x14ac:dyDescent="0.25">
      <c r="A2" s="96" t="s">
        <v>161</v>
      </c>
      <c r="B2" s="96" t="s">
        <v>103</v>
      </c>
      <c r="C2" s="97"/>
      <c r="D2" s="96"/>
      <c r="E2" s="98">
        <f>+SUM(E3:E7)</f>
        <v>333200000</v>
      </c>
    </row>
    <row r="3" spans="1:5" x14ac:dyDescent="0.25">
      <c r="A3" t="s">
        <v>106</v>
      </c>
      <c r="C3" s="80">
        <v>8000000</v>
      </c>
      <c r="D3">
        <v>14</v>
      </c>
      <c r="E3" s="81">
        <f>+C3*D3</f>
        <v>112000000</v>
      </c>
    </row>
    <row r="4" spans="1:5" x14ac:dyDescent="0.25">
      <c r="A4" t="s">
        <v>108</v>
      </c>
      <c r="C4" s="80">
        <v>5500000</v>
      </c>
      <c r="D4">
        <v>14</v>
      </c>
      <c r="E4" s="81">
        <f t="shared" ref="E4:E7" si="0">+C4*D4</f>
        <v>77000000</v>
      </c>
    </row>
    <row r="5" spans="1:5" x14ac:dyDescent="0.25">
      <c r="A5" t="s">
        <v>110</v>
      </c>
      <c r="C5" s="80">
        <v>5500000</v>
      </c>
      <c r="D5">
        <v>14</v>
      </c>
      <c r="E5" s="81">
        <f t="shared" si="0"/>
        <v>77000000</v>
      </c>
    </row>
    <row r="6" spans="1:5" x14ac:dyDescent="0.25">
      <c r="A6" t="s">
        <v>112</v>
      </c>
      <c r="B6" t="s">
        <v>113</v>
      </c>
      <c r="C6" s="80">
        <v>1800000</v>
      </c>
      <c r="D6">
        <v>14</v>
      </c>
      <c r="E6" s="81">
        <f t="shared" si="0"/>
        <v>25200000</v>
      </c>
    </row>
    <row r="7" spans="1:5" x14ac:dyDescent="0.25">
      <c r="A7" t="s">
        <v>114</v>
      </c>
      <c r="B7" t="s">
        <v>115</v>
      </c>
      <c r="C7" s="80">
        <v>3000000</v>
      </c>
      <c r="D7">
        <v>14</v>
      </c>
      <c r="E7" s="81">
        <f t="shared" si="0"/>
        <v>42000000</v>
      </c>
    </row>
    <row r="8" spans="1:5" x14ac:dyDescent="0.25">
      <c r="A8" s="90" t="s">
        <v>116</v>
      </c>
      <c r="B8" s="90"/>
      <c r="C8" s="91"/>
      <c r="D8" s="90"/>
      <c r="E8" s="92">
        <f>+SUM(E9:E23)</f>
        <v>624000000</v>
      </c>
    </row>
    <row r="9" spans="1:5" x14ac:dyDescent="0.25">
      <c r="A9" t="s">
        <v>117</v>
      </c>
      <c r="B9" t="s">
        <v>162</v>
      </c>
      <c r="C9" s="80">
        <v>6500000</v>
      </c>
      <c r="D9">
        <v>12</v>
      </c>
      <c r="E9" s="81">
        <f>+C9*D9</f>
        <v>78000000</v>
      </c>
    </row>
    <row r="10" spans="1:5" x14ac:dyDescent="0.25">
      <c r="A10" t="s">
        <v>119</v>
      </c>
      <c r="B10" t="s">
        <v>120</v>
      </c>
      <c r="C10" s="80">
        <v>6500000</v>
      </c>
      <c r="D10">
        <v>12</v>
      </c>
      <c r="E10" s="81">
        <f>+C10*D10</f>
        <v>78000000</v>
      </c>
    </row>
    <row r="11" spans="1:5" x14ac:dyDescent="0.25">
      <c r="A11" t="s">
        <v>121</v>
      </c>
      <c r="B11" t="s">
        <v>122</v>
      </c>
      <c r="C11" s="80">
        <v>6500000</v>
      </c>
      <c r="D11">
        <v>12</v>
      </c>
      <c r="E11" s="81">
        <f>+C11*D11</f>
        <v>78000000</v>
      </c>
    </row>
    <row r="12" spans="1:5" x14ac:dyDescent="0.25">
      <c r="C12" s="80"/>
      <c r="E12" s="81"/>
    </row>
    <row r="13" spans="1:5" x14ac:dyDescent="0.25">
      <c r="A13" t="s">
        <v>163</v>
      </c>
      <c r="C13" s="80"/>
      <c r="E13" s="81"/>
    </row>
    <row r="14" spans="1:5" x14ac:dyDescent="0.25">
      <c r="A14" s="82" t="s">
        <v>127</v>
      </c>
      <c r="B14" t="s">
        <v>164</v>
      </c>
      <c r="C14" s="80">
        <v>6500000</v>
      </c>
      <c r="D14">
        <v>12</v>
      </c>
      <c r="E14" s="81">
        <f>+C14*D14</f>
        <v>78000000</v>
      </c>
    </row>
    <row r="15" spans="1:5" x14ac:dyDescent="0.25">
      <c r="C15" s="80"/>
      <c r="E15" s="81"/>
    </row>
    <row r="16" spans="1:5" x14ac:dyDescent="0.25">
      <c r="A16" t="s">
        <v>165</v>
      </c>
      <c r="C16" s="80"/>
      <c r="E16" s="81"/>
    </row>
    <row r="17" spans="1:5" x14ac:dyDescent="0.25">
      <c r="A17" s="82" t="s">
        <v>127</v>
      </c>
      <c r="B17" t="s">
        <v>166</v>
      </c>
      <c r="C17" s="80">
        <v>6500000</v>
      </c>
      <c r="D17">
        <v>12</v>
      </c>
      <c r="E17" s="81">
        <f>+C17*D17</f>
        <v>78000000</v>
      </c>
    </row>
    <row r="18" spans="1:5" x14ac:dyDescent="0.25">
      <c r="C18" s="80"/>
      <c r="E18" s="81"/>
    </row>
    <row r="19" spans="1:5" x14ac:dyDescent="0.25">
      <c r="A19" t="s">
        <v>167</v>
      </c>
      <c r="C19" s="80"/>
      <c r="E19" s="81"/>
    </row>
    <row r="20" spans="1:5" x14ac:dyDescent="0.25">
      <c r="A20" s="82" t="s">
        <v>127</v>
      </c>
      <c r="B20" t="s">
        <v>164</v>
      </c>
      <c r="C20" s="80">
        <v>6500000</v>
      </c>
      <c r="D20">
        <v>12</v>
      </c>
      <c r="E20" s="81">
        <f>+C20*D20</f>
        <v>78000000</v>
      </c>
    </row>
    <row r="21" spans="1:5" x14ac:dyDescent="0.25">
      <c r="C21" s="80"/>
      <c r="E21" s="81"/>
    </row>
    <row r="22" spans="1:5" x14ac:dyDescent="0.25">
      <c r="A22" t="s">
        <v>168</v>
      </c>
      <c r="C22" s="80"/>
      <c r="E22" s="81"/>
    </row>
    <row r="23" spans="1:5" x14ac:dyDescent="0.25">
      <c r="A23" s="99" t="s">
        <v>169</v>
      </c>
      <c r="B23" s="100" t="s">
        <v>170</v>
      </c>
      <c r="C23" s="101">
        <v>6500000</v>
      </c>
      <c r="D23" s="100">
        <v>24</v>
      </c>
      <c r="E23" s="102">
        <f>+C23*D23</f>
        <v>156000000</v>
      </c>
    </row>
    <row r="24" spans="1:5" x14ac:dyDescent="0.25">
      <c r="C24" s="95"/>
      <c r="D24" s="75"/>
      <c r="E24" s="8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opLeftCell="A46" workbookViewId="0">
      <selection activeCell="E8" sqref="E8"/>
    </sheetView>
  </sheetViews>
  <sheetFormatPr baseColWidth="10" defaultColWidth="11.42578125" defaultRowHeight="15" x14ac:dyDescent="0.25"/>
  <cols>
    <col min="1" max="1" width="6.28515625" customWidth="1"/>
    <col min="2" max="2" width="20.140625" customWidth="1"/>
    <col min="3" max="3" width="19" customWidth="1"/>
    <col min="4" max="4" width="15.140625" customWidth="1"/>
    <col min="5" max="5" width="45.7109375" customWidth="1"/>
    <col min="6" max="6" width="21" customWidth="1"/>
    <col min="7" max="7" width="1.7109375" customWidth="1"/>
    <col min="8" max="8" width="19.140625" customWidth="1"/>
    <col min="10" max="10" width="27.28515625" customWidth="1"/>
  </cols>
  <sheetData>
    <row r="1" spans="1:11" x14ac:dyDescent="0.25">
      <c r="A1" s="108" t="s">
        <v>171</v>
      </c>
      <c r="B1" s="108"/>
      <c r="C1" s="108"/>
      <c r="D1" s="108"/>
      <c r="E1" s="108"/>
      <c r="F1" s="108"/>
      <c r="G1" s="108"/>
      <c r="H1" s="108"/>
    </row>
    <row r="3" spans="1:11" ht="25.5" x14ac:dyDescent="0.25">
      <c r="A3" s="41" t="s">
        <v>13</v>
      </c>
      <c r="B3" s="41" t="s">
        <v>14</v>
      </c>
      <c r="C3" s="41" t="s">
        <v>15</v>
      </c>
      <c r="D3" s="42" t="s">
        <v>16</v>
      </c>
      <c r="E3" s="41" t="s">
        <v>17</v>
      </c>
      <c r="F3" s="41" t="s">
        <v>18</v>
      </c>
      <c r="H3" s="54" t="s">
        <v>19</v>
      </c>
    </row>
    <row r="4" spans="1:11" s="47" customFormat="1" ht="52.5" customHeight="1" x14ac:dyDescent="0.25">
      <c r="A4" s="43">
        <v>1</v>
      </c>
      <c r="B4" s="43" t="s">
        <v>172</v>
      </c>
      <c r="C4" s="43" t="s">
        <v>173</v>
      </c>
      <c r="D4" s="43" t="s">
        <v>33</v>
      </c>
      <c r="E4" s="44" t="s">
        <v>174</v>
      </c>
      <c r="F4" s="62">
        <v>778403188</v>
      </c>
      <c r="G4" s="64"/>
      <c r="H4" s="62">
        <f>+ROUND(F4*1.61%,0)+F4</f>
        <v>790935479</v>
      </c>
      <c r="I4" s="109"/>
      <c r="J4" s="110"/>
    </row>
    <row r="5" spans="1:11" s="47" customFormat="1" ht="63.75" x14ac:dyDescent="0.25">
      <c r="A5" s="43">
        <v>2</v>
      </c>
      <c r="B5" s="43" t="s">
        <v>175</v>
      </c>
      <c r="C5" s="43" t="s">
        <v>176</v>
      </c>
      <c r="D5" s="43" t="s">
        <v>177</v>
      </c>
      <c r="E5" s="44" t="s">
        <v>178</v>
      </c>
      <c r="F5" s="62">
        <v>839904000</v>
      </c>
      <c r="G5" s="64"/>
      <c r="H5" s="62">
        <f t="shared" ref="H5:H12" si="0">+ROUND(F5*1.61%,0)+F5</f>
        <v>853426454</v>
      </c>
      <c r="I5" s="109"/>
      <c r="J5" s="110"/>
    </row>
    <row r="6" spans="1:11" s="47" customFormat="1" ht="63.75" x14ac:dyDescent="0.25">
      <c r="A6" s="43">
        <v>3</v>
      </c>
      <c r="B6" s="43" t="s">
        <v>172</v>
      </c>
      <c r="C6" s="43" t="s">
        <v>179</v>
      </c>
      <c r="D6" s="43" t="s">
        <v>42</v>
      </c>
      <c r="E6" s="44" t="s">
        <v>180</v>
      </c>
      <c r="F6" s="62">
        <v>787316225</v>
      </c>
      <c r="G6" s="64"/>
      <c r="H6" s="62">
        <f t="shared" si="0"/>
        <v>799992016</v>
      </c>
    </row>
    <row r="7" spans="1:11" s="47" customFormat="1" ht="90" customHeight="1" x14ac:dyDescent="0.25">
      <c r="A7" s="43">
        <v>4</v>
      </c>
      <c r="B7" s="43" t="s">
        <v>181</v>
      </c>
      <c r="C7" s="43" t="s">
        <v>182</v>
      </c>
      <c r="D7" s="43" t="s">
        <v>36</v>
      </c>
      <c r="E7" s="44" t="s">
        <v>183</v>
      </c>
      <c r="F7" s="62">
        <v>930382525</v>
      </c>
      <c r="G7" s="64"/>
      <c r="H7" s="62">
        <f t="shared" si="0"/>
        <v>945361684</v>
      </c>
      <c r="I7" s="109"/>
      <c r="J7" s="110"/>
    </row>
    <row r="8" spans="1:11" s="47" customFormat="1" ht="51" x14ac:dyDescent="0.25">
      <c r="A8" s="43">
        <v>5</v>
      </c>
      <c r="B8" s="43" t="s">
        <v>184</v>
      </c>
      <c r="C8" s="43" t="s">
        <v>185</v>
      </c>
      <c r="D8" s="43" t="s">
        <v>42</v>
      </c>
      <c r="E8" s="44" t="s">
        <v>186</v>
      </c>
      <c r="F8" s="62">
        <v>867553000</v>
      </c>
      <c r="G8" s="64"/>
      <c r="H8" s="62">
        <f t="shared" si="0"/>
        <v>881520603</v>
      </c>
    </row>
    <row r="9" spans="1:11" s="47" customFormat="1" ht="51" x14ac:dyDescent="0.25">
      <c r="A9" s="43">
        <v>6</v>
      </c>
      <c r="B9" s="43" t="s">
        <v>184</v>
      </c>
      <c r="C9" s="43" t="s">
        <v>187</v>
      </c>
      <c r="D9" s="43" t="s">
        <v>188</v>
      </c>
      <c r="E9" s="44" t="s">
        <v>189</v>
      </c>
      <c r="F9" s="62">
        <v>852630000</v>
      </c>
      <c r="G9" s="64"/>
      <c r="H9" s="62">
        <f t="shared" si="0"/>
        <v>866357343</v>
      </c>
    </row>
    <row r="10" spans="1:11" s="47" customFormat="1" ht="90" customHeight="1" x14ac:dyDescent="0.25">
      <c r="A10" s="43">
        <v>7</v>
      </c>
      <c r="B10" s="43" t="s">
        <v>181</v>
      </c>
      <c r="C10" s="43" t="s">
        <v>190</v>
      </c>
      <c r="D10" s="43" t="s">
        <v>36</v>
      </c>
      <c r="E10" s="44" t="s">
        <v>191</v>
      </c>
      <c r="F10" s="62">
        <v>970550767</v>
      </c>
      <c r="G10" s="64"/>
      <c r="H10" s="62">
        <f t="shared" si="0"/>
        <v>986176634</v>
      </c>
      <c r="I10" s="109"/>
      <c r="J10" s="110"/>
    </row>
    <row r="11" spans="1:11" s="47" customFormat="1" ht="45.75" customHeight="1" x14ac:dyDescent="0.25">
      <c r="A11" s="43">
        <v>8</v>
      </c>
      <c r="B11" s="43" t="s">
        <v>181</v>
      </c>
      <c r="C11" s="43" t="s">
        <v>192</v>
      </c>
      <c r="D11" s="43" t="s">
        <v>33</v>
      </c>
      <c r="E11" s="44" t="s">
        <v>193</v>
      </c>
      <c r="F11" s="62">
        <v>925141050</v>
      </c>
      <c r="G11" s="64"/>
      <c r="H11" s="62">
        <f t="shared" si="0"/>
        <v>940035821</v>
      </c>
      <c r="I11" s="109"/>
      <c r="J11" s="110"/>
      <c r="K11" s="64"/>
    </row>
    <row r="12" spans="1:11" s="47" customFormat="1" ht="60.75" customHeight="1" x14ac:dyDescent="0.25">
      <c r="A12" s="43">
        <v>9</v>
      </c>
      <c r="B12" s="43" t="s">
        <v>181</v>
      </c>
      <c r="C12" s="43" t="s">
        <v>194</v>
      </c>
      <c r="D12" s="43" t="s">
        <v>42</v>
      </c>
      <c r="E12" s="44" t="s">
        <v>195</v>
      </c>
      <c r="F12" s="62">
        <v>1233425621</v>
      </c>
      <c r="G12" s="64"/>
      <c r="H12" s="62">
        <f t="shared" si="0"/>
        <v>1253283773</v>
      </c>
      <c r="I12" s="109"/>
      <c r="J12" s="110"/>
      <c r="K12" s="64"/>
    </row>
    <row r="13" spans="1:11" x14ac:dyDescent="0.25">
      <c r="A13" s="105" t="s">
        <v>61</v>
      </c>
      <c r="B13" s="106"/>
      <c r="C13" s="106"/>
      <c r="D13" s="106"/>
      <c r="E13" s="107"/>
      <c r="F13" s="56">
        <f>SUM(F4:F12)</f>
        <v>8185306376</v>
      </c>
      <c r="G13" s="63"/>
      <c r="H13" s="56">
        <f>SUM(H4:H12)</f>
        <v>8317089807</v>
      </c>
    </row>
    <row r="14" spans="1:11" ht="8.25" hidden="1" customHeight="1" x14ac:dyDescent="0.25">
      <c r="A14" s="51"/>
      <c r="B14" s="52"/>
      <c r="C14" s="52"/>
      <c r="D14" s="52"/>
      <c r="E14" s="53"/>
      <c r="F14" s="65"/>
      <c r="G14" s="66"/>
      <c r="H14" s="65"/>
    </row>
    <row r="15" spans="1:11" x14ac:dyDescent="0.25">
      <c r="A15" s="105" t="s">
        <v>62</v>
      </c>
      <c r="B15" s="106"/>
      <c r="C15" s="106"/>
      <c r="D15" s="106"/>
      <c r="E15" s="107"/>
      <c r="F15" s="56"/>
      <c r="G15" s="63"/>
      <c r="H15" s="56">
        <f>+E46</f>
        <v>2101877749.1802001</v>
      </c>
    </row>
    <row r="16" spans="1:11" ht="9" hidden="1" customHeight="1" x14ac:dyDescent="0.25">
      <c r="A16" s="45"/>
      <c r="B16" s="48"/>
      <c r="C16" s="48"/>
      <c r="D16" s="48"/>
      <c r="E16" s="49"/>
      <c r="F16" s="65"/>
      <c r="G16" s="66"/>
      <c r="H16" s="65"/>
    </row>
    <row r="17" spans="1:8" ht="13.5" customHeight="1" x14ac:dyDescent="0.25">
      <c r="A17" s="105" t="s">
        <v>63</v>
      </c>
      <c r="B17" s="106"/>
      <c r="C17" s="106"/>
      <c r="D17" s="106"/>
      <c r="E17" s="107"/>
      <c r="F17" s="56">
        <f>+F13+F15</f>
        <v>8185306376</v>
      </c>
      <c r="G17" s="63"/>
      <c r="H17" s="56">
        <f>+H13+H15</f>
        <v>10418967556.180201</v>
      </c>
    </row>
    <row r="18" spans="1:8" x14ac:dyDescent="0.25">
      <c r="F18" s="63"/>
      <c r="G18" s="63"/>
      <c r="H18" s="63"/>
    </row>
    <row r="19" spans="1:8" x14ac:dyDescent="0.25">
      <c r="B19" s="75" t="s">
        <v>64</v>
      </c>
      <c r="F19" s="63"/>
      <c r="G19" s="63"/>
      <c r="H19" s="63"/>
    </row>
    <row r="20" spans="1:8" x14ac:dyDescent="0.25">
      <c r="B20" s="75" t="s">
        <v>65</v>
      </c>
      <c r="E20" s="76">
        <f>+H13</f>
        <v>8317089807</v>
      </c>
      <c r="F20" s="63"/>
      <c r="G20" s="63"/>
      <c r="H20" s="63"/>
    </row>
    <row r="22" spans="1:8" x14ac:dyDescent="0.25">
      <c r="B22" s="10" t="s">
        <v>66</v>
      </c>
      <c r="C22" s="10" t="s">
        <v>67</v>
      </c>
      <c r="D22" s="10" t="s">
        <v>6</v>
      </c>
      <c r="E22" s="11" t="s">
        <v>68</v>
      </c>
    </row>
    <row r="23" spans="1:8" x14ac:dyDescent="0.25">
      <c r="B23" s="12" t="s">
        <v>69</v>
      </c>
      <c r="C23" s="12"/>
      <c r="D23" s="13">
        <f>+D24+D33</f>
        <v>0.23968043384227025</v>
      </c>
      <c r="E23" s="14">
        <f>+E24+E33</f>
        <v>1436510564.6202002</v>
      </c>
    </row>
    <row r="24" spans="1:8" x14ac:dyDescent="0.25">
      <c r="B24" s="15" t="s">
        <v>70</v>
      </c>
      <c r="C24" s="15"/>
      <c r="D24" s="16">
        <v>3.3599999999999998E-2</v>
      </c>
      <c r="E24" s="14">
        <f>SUM(E25:E32)</f>
        <v>279454217.51520002</v>
      </c>
    </row>
    <row r="25" spans="1:8" x14ac:dyDescent="0.25">
      <c r="B25" s="17" t="s">
        <v>71</v>
      </c>
      <c r="C25" s="18" t="s">
        <v>72</v>
      </c>
      <c r="D25" s="19">
        <v>9.5999999999999992E-3</v>
      </c>
      <c r="E25" s="20">
        <f>+E20*$D$25</f>
        <v>79844062.147199988</v>
      </c>
    </row>
    <row r="26" spans="1:8" x14ac:dyDescent="0.25">
      <c r="B26" s="17" t="s">
        <v>73</v>
      </c>
      <c r="C26" s="17" t="s">
        <v>74</v>
      </c>
      <c r="D26" s="21">
        <v>0.02</v>
      </c>
      <c r="E26" s="20">
        <f>+E20*D26</f>
        <v>166341796.14000002</v>
      </c>
    </row>
    <row r="27" spans="1:8" x14ac:dyDescent="0.25">
      <c r="B27" s="17" t="s">
        <v>75</v>
      </c>
      <c r="C27" s="17" t="s">
        <v>74</v>
      </c>
      <c r="D27" s="19">
        <v>4.0000000000000001E-3</v>
      </c>
      <c r="E27" s="20">
        <f>+E20*D27</f>
        <v>33268359.228</v>
      </c>
    </row>
    <row r="28" spans="1:8" ht="22.5" hidden="1" x14ac:dyDescent="0.25">
      <c r="B28" s="22" t="s">
        <v>76</v>
      </c>
      <c r="C28" s="17"/>
      <c r="D28" s="23">
        <v>1.4999999999999999E-2</v>
      </c>
      <c r="E28" s="20"/>
    </row>
    <row r="29" spans="1:8" ht="22.5" hidden="1" x14ac:dyDescent="0.25">
      <c r="B29" s="22" t="s">
        <v>77</v>
      </c>
      <c r="C29" s="17"/>
      <c r="D29" s="23">
        <v>1.4999999999999999E-2</v>
      </c>
      <c r="E29" s="20"/>
    </row>
    <row r="30" spans="1:8" ht="22.5" hidden="1" x14ac:dyDescent="0.25">
      <c r="B30" s="22" t="s">
        <v>78</v>
      </c>
      <c r="C30" s="17"/>
      <c r="D30" s="23">
        <v>4.0000000000000001E-3</v>
      </c>
      <c r="E30" s="20"/>
    </row>
    <row r="31" spans="1:8" ht="22.5" hidden="1" x14ac:dyDescent="0.25">
      <c r="B31" s="22" t="s">
        <v>79</v>
      </c>
      <c r="C31" s="17"/>
      <c r="D31" s="23">
        <v>0.04</v>
      </c>
      <c r="E31" s="20"/>
    </row>
    <row r="32" spans="1:8" ht="22.5" hidden="1" x14ac:dyDescent="0.25">
      <c r="B32" s="22" t="s">
        <v>80</v>
      </c>
      <c r="C32" s="17"/>
      <c r="D32" s="23">
        <v>1.4999999999999999E-2</v>
      </c>
      <c r="E32" s="20"/>
    </row>
    <row r="33" spans="2:5" x14ac:dyDescent="0.25">
      <c r="B33" s="15" t="s">
        <v>81</v>
      </c>
      <c r="C33" s="15"/>
      <c r="D33" s="16">
        <f>SUM(D34:D43)</f>
        <v>0.20608043384227026</v>
      </c>
      <c r="E33" s="24">
        <f>SUM(E34:E43)</f>
        <v>1157056347.105</v>
      </c>
    </row>
    <row r="34" spans="2:5" x14ac:dyDescent="0.25">
      <c r="B34" s="18" t="s">
        <v>82</v>
      </c>
      <c r="C34" s="18" t="s">
        <v>83</v>
      </c>
      <c r="D34" s="25">
        <f>+E34/E20</f>
        <v>4.6891401806405913E-2</v>
      </c>
      <c r="E34" s="26">
        <v>390000000</v>
      </c>
    </row>
    <row r="35" spans="2:5" x14ac:dyDescent="0.25">
      <c r="B35" s="18" t="s">
        <v>84</v>
      </c>
      <c r="C35" s="18" t="s">
        <v>83</v>
      </c>
      <c r="D35" s="25">
        <f>+E35/E20</f>
        <v>4.0062089953575512E-2</v>
      </c>
      <c r="E35" s="26">
        <v>333200000</v>
      </c>
    </row>
    <row r="36" spans="2:5" ht="27" x14ac:dyDescent="0.25">
      <c r="B36" s="18" t="s">
        <v>85</v>
      </c>
      <c r="C36" s="28" t="s">
        <v>86</v>
      </c>
      <c r="D36" s="25">
        <f>+E36/E20</f>
        <v>3.3665621809727321E-3</v>
      </c>
      <c r="E36" s="26">
        <f>2000000*14</f>
        <v>28000000</v>
      </c>
    </row>
    <row r="37" spans="2:5" ht="27" x14ac:dyDescent="0.25">
      <c r="B37" s="18" t="s">
        <v>87</v>
      </c>
      <c r="C37" s="28" t="s">
        <v>88</v>
      </c>
      <c r="D37" s="25">
        <f>+E37/E20</f>
        <v>4.5448589443131881E-3</v>
      </c>
      <c r="E37" s="26">
        <f>(700000*6)*9</f>
        <v>37800000</v>
      </c>
    </row>
    <row r="38" spans="2:5" x14ac:dyDescent="0.25">
      <c r="B38" s="18" t="s">
        <v>89</v>
      </c>
      <c r="C38" s="18"/>
      <c r="D38" s="25">
        <f>+E38/E20</f>
        <v>2.0199373085836394E-3</v>
      </c>
      <c r="E38" s="26">
        <f>1200000*14</f>
        <v>16800000</v>
      </c>
    </row>
    <row r="39" spans="2:5" x14ac:dyDescent="0.25">
      <c r="B39" s="18" t="s">
        <v>90</v>
      </c>
      <c r="C39" s="18" t="s">
        <v>91</v>
      </c>
      <c r="D39" s="25">
        <v>3.0000000000000001E-3</v>
      </c>
      <c r="E39" s="26">
        <f>+$E$20*D39</f>
        <v>24951269.421</v>
      </c>
    </row>
    <row r="40" spans="2:5" x14ac:dyDescent="0.25">
      <c r="B40" s="18" t="s">
        <v>92</v>
      </c>
      <c r="C40" s="18" t="s">
        <v>91</v>
      </c>
      <c r="D40" s="25">
        <v>2E-3</v>
      </c>
      <c r="E40" s="26">
        <f>+$E$20*D40</f>
        <v>16634179.614</v>
      </c>
    </row>
    <row r="41" spans="2:5" x14ac:dyDescent="0.25">
      <c r="B41" s="18" t="s">
        <v>93</v>
      </c>
      <c r="C41" s="18" t="s">
        <v>91</v>
      </c>
      <c r="D41" s="25">
        <f>+E41/E20</f>
        <v>1.6411990632242069E-2</v>
      </c>
      <c r="E41" s="26">
        <f>3500000*3*13</f>
        <v>136500000</v>
      </c>
    </row>
    <row r="42" spans="2:5" ht="27" x14ac:dyDescent="0.25">
      <c r="B42" s="18" t="s">
        <v>94</v>
      </c>
      <c r="C42" s="28" t="s">
        <v>95</v>
      </c>
      <c r="D42" s="29">
        <v>0.01</v>
      </c>
      <c r="E42" s="26">
        <f>+$E$20*D42</f>
        <v>83170898.070000008</v>
      </c>
    </row>
    <row r="43" spans="2:5" ht="54" x14ac:dyDescent="0.25">
      <c r="B43" s="28" t="s">
        <v>96</v>
      </c>
      <c r="C43" s="28" t="s">
        <v>91</v>
      </c>
      <c r="D43" s="25">
        <f>+E43/E33</f>
        <v>7.778359301617721E-2</v>
      </c>
      <c r="E43" s="26">
        <f>10000000*9</f>
        <v>90000000</v>
      </c>
    </row>
    <row r="44" spans="2:5" x14ac:dyDescent="0.25">
      <c r="B44" s="12" t="s">
        <v>97</v>
      </c>
      <c r="C44" s="12"/>
      <c r="D44" s="30">
        <v>0.03</v>
      </c>
      <c r="E44" s="14">
        <f>+E20*D44</f>
        <v>249512694.20999998</v>
      </c>
    </row>
    <row r="45" spans="2:5" ht="27" x14ac:dyDescent="0.25">
      <c r="B45" s="12" t="s">
        <v>98</v>
      </c>
      <c r="C45" s="12"/>
      <c r="D45" s="13">
        <v>0.05</v>
      </c>
      <c r="E45" s="14">
        <f>+E20*D45</f>
        <v>415854490.35000002</v>
      </c>
    </row>
    <row r="46" spans="2:5" ht="27" x14ac:dyDescent="0.25">
      <c r="B46" s="12" t="s">
        <v>99</v>
      </c>
      <c r="C46" s="12"/>
      <c r="D46" s="13"/>
      <c r="E46" s="14">
        <f>+E23+E44+E45</f>
        <v>2101877749.1802001</v>
      </c>
    </row>
    <row r="47" spans="2:5" x14ac:dyDescent="0.25">
      <c r="B47" s="31" t="s">
        <v>100</v>
      </c>
      <c r="C47" s="32"/>
      <c r="D47" s="32"/>
      <c r="E47" s="33">
        <f>+E46/E20</f>
        <v>0.25271793355064825</v>
      </c>
    </row>
    <row r="48" spans="2:5" x14ac:dyDescent="0.25">
      <c r="B48" s="31" t="s">
        <v>196</v>
      </c>
      <c r="C48" s="32"/>
      <c r="D48" s="32"/>
      <c r="E48" s="34">
        <f>+E46+E20</f>
        <v>10418967556.180201</v>
      </c>
    </row>
  </sheetData>
  <mergeCells count="10">
    <mergeCell ref="A1:H1"/>
    <mergeCell ref="A13:E13"/>
    <mergeCell ref="A15:E15"/>
    <mergeCell ref="A17:E17"/>
    <mergeCell ref="I4:J4"/>
    <mergeCell ref="I7:J7"/>
    <mergeCell ref="I10:J10"/>
    <mergeCell ref="I11:J11"/>
    <mergeCell ref="I12:J12"/>
    <mergeCell ref="I5:J5"/>
  </mergeCells>
  <conditionalFormatting sqref="E4:E11">
    <cfRule type="duplicateValues" dxfId="0" priority="1"/>
  </conditionalFormatting>
  <pageMargins left="0.7" right="0.7" top="0.75" bottom="0.75" header="0.3" footer="0.3"/>
  <ignoredErrors>
    <ignoredError sqref="E41" formula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37" sqref="A37"/>
    </sheetView>
  </sheetViews>
  <sheetFormatPr baseColWidth="10" defaultColWidth="11.42578125" defaultRowHeight="15" x14ac:dyDescent="0.25"/>
  <cols>
    <col min="1" max="1" width="31.28515625" customWidth="1"/>
    <col min="2" max="2" width="22.5703125" customWidth="1"/>
    <col min="3" max="4" width="18" customWidth="1"/>
    <col min="5" max="5" width="23.42578125" customWidth="1"/>
  </cols>
  <sheetData>
    <row r="1" spans="1:5" x14ac:dyDescent="0.25">
      <c r="A1" t="s">
        <v>197</v>
      </c>
    </row>
    <row r="3" spans="1:5" x14ac:dyDescent="0.25">
      <c r="A3" s="96" t="s">
        <v>161</v>
      </c>
      <c r="B3" s="96" t="s">
        <v>103</v>
      </c>
      <c r="C3" s="103"/>
      <c r="D3" s="104"/>
      <c r="E3" s="98">
        <f>+SUM(E4:E8)</f>
        <v>333200000</v>
      </c>
    </row>
    <row r="4" spans="1:5" x14ac:dyDescent="0.25">
      <c r="A4" t="s">
        <v>106</v>
      </c>
      <c r="C4" s="80">
        <v>8000000</v>
      </c>
      <c r="D4">
        <v>14</v>
      </c>
      <c r="E4" s="81">
        <f t="shared" ref="E4:E19" si="0">+C4*D4</f>
        <v>112000000</v>
      </c>
    </row>
    <row r="5" spans="1:5" x14ac:dyDescent="0.25">
      <c r="A5" t="s">
        <v>108</v>
      </c>
      <c r="C5" s="80">
        <v>5500000</v>
      </c>
      <c r="D5">
        <v>14</v>
      </c>
      <c r="E5" s="81">
        <f t="shared" si="0"/>
        <v>77000000</v>
      </c>
    </row>
    <row r="6" spans="1:5" x14ac:dyDescent="0.25">
      <c r="A6" t="s">
        <v>110</v>
      </c>
      <c r="C6" s="80">
        <v>5500000</v>
      </c>
      <c r="D6">
        <v>14</v>
      </c>
      <c r="E6" s="81">
        <f t="shared" si="0"/>
        <v>77000000</v>
      </c>
    </row>
    <row r="7" spans="1:5" x14ac:dyDescent="0.25">
      <c r="A7" t="s">
        <v>112</v>
      </c>
      <c r="B7" t="s">
        <v>113</v>
      </c>
      <c r="C7" s="80">
        <v>1800000</v>
      </c>
      <c r="D7">
        <v>14</v>
      </c>
      <c r="E7" s="81">
        <f t="shared" si="0"/>
        <v>25200000</v>
      </c>
    </row>
    <row r="8" spans="1:5" x14ac:dyDescent="0.25">
      <c r="A8" t="s">
        <v>114</v>
      </c>
      <c r="B8" t="s">
        <v>115</v>
      </c>
      <c r="C8" s="80">
        <v>3000000</v>
      </c>
      <c r="D8">
        <v>14</v>
      </c>
      <c r="E8" s="81">
        <f t="shared" si="0"/>
        <v>42000000</v>
      </c>
    </row>
    <row r="9" spans="1:5" x14ac:dyDescent="0.25">
      <c r="C9" s="80"/>
      <c r="E9" s="81"/>
    </row>
    <row r="10" spans="1:5" x14ac:dyDescent="0.25">
      <c r="A10" s="90" t="s">
        <v>116</v>
      </c>
      <c r="B10" s="90"/>
      <c r="C10" s="91"/>
      <c r="D10" s="90"/>
      <c r="E10" s="92">
        <f>+SUM(E11:E25)</f>
        <v>390000000</v>
      </c>
    </row>
    <row r="11" spans="1:5" x14ac:dyDescent="0.25">
      <c r="A11" t="s">
        <v>117</v>
      </c>
      <c r="B11" t="s">
        <v>118</v>
      </c>
      <c r="C11" s="80">
        <v>6500000</v>
      </c>
      <c r="D11">
        <v>12</v>
      </c>
      <c r="E11" s="81">
        <f t="shared" si="0"/>
        <v>78000000</v>
      </c>
    </row>
    <row r="12" spans="1:5" x14ac:dyDescent="0.25">
      <c r="A12" t="s">
        <v>119</v>
      </c>
      <c r="B12" t="s">
        <v>120</v>
      </c>
      <c r="C12" s="80">
        <v>6500000</v>
      </c>
      <c r="D12">
        <v>12</v>
      </c>
      <c r="E12" s="81">
        <f t="shared" si="0"/>
        <v>78000000</v>
      </c>
    </row>
    <row r="13" spans="1:5" x14ac:dyDescent="0.25">
      <c r="A13" t="s">
        <v>121</v>
      </c>
      <c r="B13" t="s">
        <v>122</v>
      </c>
      <c r="C13" s="80">
        <v>6500000</v>
      </c>
      <c r="D13">
        <v>12</v>
      </c>
      <c r="E13" s="81">
        <f t="shared" si="0"/>
        <v>78000000</v>
      </c>
    </row>
    <row r="14" spans="1:5" ht="14.25" customHeight="1" x14ac:dyDescent="0.25">
      <c r="C14" s="80"/>
      <c r="E14" s="81"/>
    </row>
    <row r="15" spans="1:5" x14ac:dyDescent="0.25">
      <c r="A15" t="s">
        <v>198</v>
      </c>
      <c r="C15" s="80"/>
      <c r="E15" s="81"/>
    </row>
    <row r="16" spans="1:5" x14ac:dyDescent="0.25">
      <c r="A16" t="s">
        <v>124</v>
      </c>
      <c r="B16" t="s">
        <v>199</v>
      </c>
      <c r="C16" s="80">
        <v>6500000</v>
      </c>
      <c r="D16">
        <v>12</v>
      </c>
      <c r="E16" s="81">
        <f t="shared" si="0"/>
        <v>78000000</v>
      </c>
    </row>
    <row r="17" spans="1:5" x14ac:dyDescent="0.25">
      <c r="C17" s="80"/>
      <c r="E17" s="81"/>
    </row>
    <row r="18" spans="1:5" x14ac:dyDescent="0.25">
      <c r="A18" t="s">
        <v>200</v>
      </c>
      <c r="C18" s="80"/>
      <c r="E18" s="81"/>
    </row>
    <row r="19" spans="1:5" x14ac:dyDescent="0.25">
      <c r="A19" t="s">
        <v>124</v>
      </c>
      <c r="B19" t="s">
        <v>201</v>
      </c>
      <c r="C19" s="80">
        <v>6500000</v>
      </c>
      <c r="D19">
        <v>12</v>
      </c>
      <c r="E19" s="81">
        <f t="shared" si="0"/>
        <v>78000000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PPTO ZONA </vt:lpstr>
      <vt:lpstr>Zona 1</vt:lpstr>
      <vt:lpstr>Equipo Imp. Zona 1</vt:lpstr>
      <vt:lpstr>Zona 2</vt:lpstr>
      <vt:lpstr>Equipo Impl.Zona 2</vt:lpstr>
      <vt:lpstr>Zona 4</vt:lpstr>
      <vt:lpstr>Equipo Zona 4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Edison Javier Bravo Mira</cp:lastModifiedBy>
  <cp:revision/>
  <dcterms:created xsi:type="dcterms:W3CDTF">2021-03-08T16:56:03Z</dcterms:created>
  <dcterms:modified xsi:type="dcterms:W3CDTF">2021-09-15T14:59:40Z</dcterms:modified>
  <cp:category/>
  <cp:contentStatus/>
</cp:coreProperties>
</file>