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8.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sharedStrings.xml" ContentType="application/vnd.openxmlformats-officedocument.spreadsheetml.sharedStrings+xml"/>
  <Override PartName="/xl/drawings/drawing1.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D:\ENTERRITORIO\13. GOBERNACION DE TOLIMA\"/>
    </mc:Choice>
  </mc:AlternateContent>
  <bookViews>
    <workbookView xWindow="0" yWindow="0" windowWidth="20490" windowHeight="6420" tabRatio="782" activeTab="6"/>
  </bookViews>
  <sheets>
    <sheet name="Instructivo" sheetId="8" r:id="rId1"/>
    <sheet name="Datos Generales" sheetId="4" r:id="rId2"/>
    <sheet name="Contexto" sheetId="5" r:id="rId3"/>
    <sheet name="Descripcion Actividades" sheetId="6" r:id="rId4"/>
    <sheet name="Eval Factores de Riesgo" sheetId="7" state="hidden" r:id="rId5"/>
    <sheet name="Valimpacto" sheetId="9" state="hidden" r:id="rId6"/>
    <sheet name="cap.7 - analisis riesgos" sheetId="10" r:id="rId7"/>
    <sheet name="Incidencias y Tratamientos" sheetId="12" r:id="rId8"/>
    <sheet name="Catalogo Tratamiento de Riesgos" sheetId="11" state="hidden" r:id="rId9"/>
    <sheet name="Catalogo Otros Riesgos" sheetId="13" r:id="rId10"/>
  </sheets>
  <definedNames>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anualCount" hidden="1">8</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Pal_Workbook_GUID" localSheetId="6" hidden="1">"EWT3EDPIJK99ERZX9UC874NQ"</definedName>
    <definedName name="Pal_Workbook_GUID" hidden="1">"DWST3BRKEQH7EY2B98LVWFDU"</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4" i="4" l="1"/>
  <c r="I23" i="4"/>
  <c r="D3" i="6" l="1"/>
  <c r="E35" i="4" l="1"/>
  <c r="E52" i="4"/>
  <c r="E34" i="4" l="1"/>
  <c r="E51" i="4"/>
  <c r="E87" i="4"/>
  <c r="E69" i="4"/>
  <c r="E70" i="4" l="1"/>
  <c r="E68" i="4"/>
  <c r="E85" i="4"/>
  <c r="E86" i="4"/>
  <c r="C10" i="10"/>
  <c r="B25" i="10" l="1"/>
  <c r="B26" i="10"/>
  <c r="K178" i="10"/>
  <c r="J178" i="10"/>
  <c r="L178" i="10" s="1"/>
  <c r="E178" i="10" s="1"/>
  <c r="K177" i="10"/>
  <c r="J177" i="10"/>
  <c r="K176" i="10"/>
  <c r="J176" i="10"/>
  <c r="L176" i="10" s="1"/>
  <c r="E176" i="10" s="1"/>
  <c r="K175" i="10"/>
  <c r="J175" i="10"/>
  <c r="L177" i="10" l="1"/>
  <c r="E177" i="10" s="1"/>
  <c r="L175" i="10"/>
  <c r="E175" i="10" s="1"/>
  <c r="E71" i="12"/>
  <c r="E64" i="12"/>
  <c r="C71" i="12"/>
  <c r="C64" i="12"/>
  <c r="DK86" i="7" l="1"/>
  <c r="DK91" i="7" s="1"/>
  <c r="DC86" i="7"/>
  <c r="DP86" i="7"/>
  <c r="DP91" i="7" s="1"/>
  <c r="DO86" i="7"/>
  <c r="DN86" i="7"/>
  <c r="DN91" i="7" s="1"/>
  <c r="DM86" i="7"/>
  <c r="DM91" i="7" s="1"/>
  <c r="DL86" i="7"/>
  <c r="DL91" i="7" s="1"/>
  <c r="DJ86" i="7"/>
  <c r="DI86" i="7"/>
  <c r="DH86" i="7"/>
  <c r="DG86" i="7"/>
  <c r="DF86" i="7"/>
  <c r="DE86" i="7"/>
  <c r="DD86" i="7"/>
  <c r="C5" i="10"/>
  <c r="D71" i="12"/>
  <c r="D69" i="12"/>
  <c r="D64" i="12"/>
  <c r="D62" i="12"/>
  <c r="D55" i="12"/>
  <c r="D48" i="12"/>
  <c r="D41" i="12"/>
  <c r="D34" i="12"/>
  <c r="D27" i="12"/>
  <c r="D20" i="12"/>
  <c r="D13" i="12"/>
  <c r="D6" i="12"/>
  <c r="DP85" i="7"/>
  <c r="DO85" i="7"/>
  <c r="DN85" i="7"/>
  <c r="DM85" i="7"/>
  <c r="DL85" i="7"/>
  <c r="DK85" i="7"/>
  <c r="DJ85" i="7"/>
  <c r="DI85" i="7"/>
  <c r="DH85" i="7"/>
  <c r="DG85" i="7"/>
  <c r="DF85" i="7"/>
  <c r="DE85" i="7"/>
  <c r="DD85" i="7"/>
  <c r="DC85" i="7"/>
  <c r="DB85" i="7"/>
  <c r="DA85" i="7"/>
  <c r="DP76" i="7"/>
  <c r="DO76" i="7"/>
  <c r="DN76" i="7"/>
  <c r="DM76" i="7"/>
  <c r="DL76" i="7"/>
  <c r="DK76" i="7"/>
  <c r="DJ76" i="7"/>
  <c r="DI76" i="7"/>
  <c r="DH76" i="7"/>
  <c r="DG76" i="7"/>
  <c r="DF76" i="7"/>
  <c r="DE76" i="7"/>
  <c r="DD76" i="7"/>
  <c r="DC76" i="7"/>
  <c r="DB76" i="7"/>
  <c r="DA76" i="7"/>
  <c r="DP75" i="7"/>
  <c r="DO75" i="7"/>
  <c r="DN75" i="7"/>
  <c r="DM75" i="7"/>
  <c r="DL75" i="7"/>
  <c r="DK75" i="7"/>
  <c r="DJ75" i="7"/>
  <c r="DI75" i="7"/>
  <c r="DH75" i="7"/>
  <c r="DG75" i="7"/>
  <c r="DF75" i="7"/>
  <c r="DE75" i="7"/>
  <c r="DD75" i="7"/>
  <c r="DC75" i="7"/>
  <c r="DB75" i="7"/>
  <c r="DA75" i="7"/>
  <c r="DP64" i="7"/>
  <c r="DO64" i="7"/>
  <c r="DN64" i="7"/>
  <c r="DM64" i="7"/>
  <c r="DL64" i="7"/>
  <c r="DK64" i="7"/>
  <c r="DJ64" i="7"/>
  <c r="DI64" i="7"/>
  <c r="DH64" i="7"/>
  <c r="DG64" i="7"/>
  <c r="DF64" i="7"/>
  <c r="DE64" i="7"/>
  <c r="DD64" i="7"/>
  <c r="DC64" i="7"/>
  <c r="DB64" i="7"/>
  <c r="DA64" i="7"/>
  <c r="DP54" i="7"/>
  <c r="DO54" i="7"/>
  <c r="DN54" i="7"/>
  <c r="DM54" i="7"/>
  <c r="DL54" i="7"/>
  <c r="DK54" i="7"/>
  <c r="DJ54" i="7"/>
  <c r="DI54" i="7"/>
  <c r="DH54" i="7"/>
  <c r="DG54" i="7"/>
  <c r="DF54" i="7"/>
  <c r="DE54" i="7"/>
  <c r="DD54" i="7"/>
  <c r="DC54" i="7"/>
  <c r="DB54" i="7"/>
  <c r="DA54" i="7"/>
  <c r="DP44" i="7"/>
  <c r="DO44" i="7"/>
  <c r="DN44" i="7"/>
  <c r="DM44" i="7"/>
  <c r="DL44" i="7"/>
  <c r="DK44" i="7"/>
  <c r="DJ44" i="7"/>
  <c r="DI44" i="7"/>
  <c r="DH44" i="7"/>
  <c r="DG44" i="7"/>
  <c r="DF44" i="7"/>
  <c r="DE44" i="7"/>
  <c r="DD44" i="7"/>
  <c r="DC44" i="7"/>
  <c r="DB44" i="7"/>
  <c r="DA44" i="7"/>
  <c r="DP35" i="7"/>
  <c r="DO35" i="7"/>
  <c r="DN35" i="7"/>
  <c r="DM35" i="7"/>
  <c r="DL35" i="7"/>
  <c r="DK35" i="7"/>
  <c r="DJ35" i="7"/>
  <c r="DI35" i="7"/>
  <c r="DH35" i="7"/>
  <c r="DG35" i="7"/>
  <c r="DF35" i="7"/>
  <c r="DE35" i="7"/>
  <c r="DD35" i="7"/>
  <c r="DC35" i="7"/>
  <c r="DB35" i="7"/>
  <c r="DA35" i="7"/>
  <c r="DP26" i="7"/>
  <c r="DO26" i="7"/>
  <c r="DN26" i="7"/>
  <c r="DM26" i="7"/>
  <c r="DL26" i="7"/>
  <c r="DK26" i="7"/>
  <c r="DJ26" i="7"/>
  <c r="DI26" i="7"/>
  <c r="DH26" i="7"/>
  <c r="DG26" i="7"/>
  <c r="DF26" i="7"/>
  <c r="DE26" i="7"/>
  <c r="DD26" i="7"/>
  <c r="DC26" i="7"/>
  <c r="DB26" i="7"/>
  <c r="DA26" i="7"/>
  <c r="DP19" i="7"/>
  <c r="DO19" i="7"/>
  <c r="DN19" i="7"/>
  <c r="DM19" i="7"/>
  <c r="DL19" i="7"/>
  <c r="DK19" i="7"/>
  <c r="DJ19" i="7"/>
  <c r="DI19" i="7"/>
  <c r="DH19" i="7"/>
  <c r="DG19" i="7"/>
  <c r="DF19" i="7"/>
  <c r="DE19" i="7"/>
  <c r="DD19" i="7"/>
  <c r="DC19" i="7"/>
  <c r="DB19" i="7"/>
  <c r="DA19" i="7"/>
  <c r="DP10" i="7"/>
  <c r="DO10" i="7"/>
  <c r="DN10" i="7"/>
  <c r="DM10" i="7"/>
  <c r="DL10" i="7"/>
  <c r="DK10" i="7"/>
  <c r="DJ10" i="7"/>
  <c r="DI10" i="7"/>
  <c r="DH10" i="7"/>
  <c r="DG10" i="7"/>
  <c r="DF10" i="7"/>
  <c r="DE10" i="7"/>
  <c r="DD10" i="7"/>
  <c r="DC10" i="7"/>
  <c r="DB10" i="7"/>
  <c r="DA10" i="7"/>
  <c r="DP2" i="7"/>
  <c r="DO2" i="7"/>
  <c r="DN2" i="7"/>
  <c r="DM2" i="7"/>
  <c r="DL2" i="7"/>
  <c r="DK2" i="7"/>
  <c r="DJ2" i="7"/>
  <c r="DI2" i="7"/>
  <c r="DH2" i="7"/>
  <c r="DG2" i="7"/>
  <c r="DF2" i="7"/>
  <c r="DE2" i="7"/>
  <c r="DD2" i="7"/>
  <c r="DC2" i="7"/>
  <c r="DB2" i="7"/>
  <c r="DA2" i="7"/>
  <c r="DR86" i="7"/>
  <c r="DR77" i="7"/>
  <c r="DO91" i="7"/>
  <c r="DJ91" i="7"/>
  <c r="D55" i="7"/>
  <c r="BT4" i="7"/>
  <c r="BT5" i="7"/>
  <c r="BT6" i="7"/>
  <c r="BT7" i="7"/>
  <c r="BT8" i="7"/>
  <c r="BT10" i="7"/>
  <c r="BT11" i="7"/>
  <c r="BT12" i="7"/>
  <c r="BT13" i="7"/>
  <c r="BT14" i="7"/>
  <c r="BT15" i="7"/>
  <c r="BT16" i="7"/>
  <c r="BT17" i="7"/>
  <c r="BT19" i="7"/>
  <c r="BT20" i="7"/>
  <c r="BT21" i="7"/>
  <c r="BT22" i="7"/>
  <c r="BT23" i="7"/>
  <c r="BT24" i="7"/>
  <c r="BT26" i="7"/>
  <c r="BT27" i="7"/>
  <c r="BT28" i="7"/>
  <c r="BT29" i="7"/>
  <c r="BT30" i="7"/>
  <c r="BT31" i="7"/>
  <c r="BT32" i="7"/>
  <c r="BT33" i="7"/>
  <c r="BT35" i="7"/>
  <c r="BT36" i="7"/>
  <c r="BT37" i="7"/>
  <c r="BT38" i="7"/>
  <c r="BT39" i="7"/>
  <c r="BT40" i="7"/>
  <c r="BT41" i="7"/>
  <c r="BT42" i="7"/>
  <c r="BT44" i="7"/>
  <c r="BT45" i="7"/>
  <c r="BT46" i="7"/>
  <c r="BT47" i="7"/>
  <c r="BT48" i="7"/>
  <c r="BT49" i="7"/>
  <c r="BT50" i="7"/>
  <c r="BT51" i="7"/>
  <c r="BT52" i="7"/>
  <c r="BT54" i="7"/>
  <c r="BT55" i="7"/>
  <c r="BT56" i="7"/>
  <c r="BT57" i="7"/>
  <c r="BT58" i="7"/>
  <c r="BT59" i="7"/>
  <c r="BT60" i="7"/>
  <c r="BT61" i="7"/>
  <c r="BT62" i="7"/>
  <c r="BT64" i="7"/>
  <c r="BT65" i="7"/>
  <c r="BT66" i="7"/>
  <c r="BT67" i="7"/>
  <c r="BT68" i="7"/>
  <c r="BT69" i="7"/>
  <c r="BT70" i="7"/>
  <c r="BT71" i="7"/>
  <c r="BT72" i="7"/>
  <c r="BT73" i="7"/>
  <c r="BT75" i="7"/>
  <c r="BT76" i="7"/>
  <c r="BT77" i="7"/>
  <c r="BT78" i="7"/>
  <c r="BT79" i="7"/>
  <c r="BT80" i="7"/>
  <c r="BT81" i="7"/>
  <c r="BT82" i="7"/>
  <c r="BT83" i="7"/>
  <c r="BT85" i="7"/>
  <c r="BT86" i="7"/>
  <c r="BT87" i="7"/>
  <c r="BT88" i="7"/>
  <c r="BT89" i="7"/>
  <c r="BT90" i="7"/>
  <c r="BT3" i="7"/>
  <c r="BR4" i="7"/>
  <c r="BR5" i="7"/>
  <c r="BR6" i="7"/>
  <c r="BR7" i="7"/>
  <c r="BR8" i="7"/>
  <c r="BR10" i="7"/>
  <c r="BR11" i="7"/>
  <c r="BR12" i="7"/>
  <c r="BR13" i="7"/>
  <c r="BR14" i="7"/>
  <c r="BR15" i="7"/>
  <c r="BR16" i="7"/>
  <c r="BR17" i="7"/>
  <c r="BR19" i="7"/>
  <c r="BR20" i="7"/>
  <c r="BR21" i="7"/>
  <c r="BR22" i="7"/>
  <c r="BR23" i="7"/>
  <c r="BR24" i="7"/>
  <c r="BR26" i="7"/>
  <c r="BR27" i="7"/>
  <c r="BR28" i="7"/>
  <c r="BR29" i="7"/>
  <c r="BR30" i="7"/>
  <c r="DP28" i="7" s="1"/>
  <c r="BR31" i="7"/>
  <c r="BR32" i="7"/>
  <c r="BR33" i="7"/>
  <c r="BR35" i="7"/>
  <c r="BR36" i="7"/>
  <c r="DP41" i="7" s="1"/>
  <c r="BR37" i="7"/>
  <c r="BR38" i="7"/>
  <c r="BR39" i="7"/>
  <c r="BR40" i="7"/>
  <c r="BR41" i="7"/>
  <c r="BR42" i="7"/>
  <c r="BR44" i="7"/>
  <c r="BR45" i="7"/>
  <c r="BR46" i="7"/>
  <c r="BR47" i="7"/>
  <c r="BR48" i="7"/>
  <c r="BR49" i="7"/>
  <c r="BR50" i="7"/>
  <c r="BR51" i="7"/>
  <c r="BR52" i="7"/>
  <c r="BR54" i="7"/>
  <c r="BR55" i="7"/>
  <c r="BR56" i="7"/>
  <c r="BR57" i="7"/>
  <c r="BR58" i="7"/>
  <c r="BR59" i="7"/>
  <c r="BR60" i="7"/>
  <c r="BR61" i="7"/>
  <c r="BR62" i="7"/>
  <c r="BR64" i="7"/>
  <c r="BR65" i="7"/>
  <c r="BR66" i="7"/>
  <c r="BR67" i="7"/>
  <c r="BR68" i="7"/>
  <c r="BR69" i="7"/>
  <c r="BR70" i="7"/>
  <c r="BR71" i="7"/>
  <c r="BR72" i="7"/>
  <c r="BR73" i="7"/>
  <c r="BR75" i="7"/>
  <c r="BR76" i="7"/>
  <c r="BR77" i="7"/>
  <c r="BR78" i="7"/>
  <c r="BR79" i="7"/>
  <c r="BR80" i="7"/>
  <c r="BR81" i="7"/>
  <c r="BR82" i="7"/>
  <c r="BR83" i="7"/>
  <c r="BR85" i="7"/>
  <c r="BR86" i="7"/>
  <c r="BR87" i="7"/>
  <c r="BR88" i="7"/>
  <c r="BR89" i="7"/>
  <c r="BR90" i="7"/>
  <c r="BR3" i="7"/>
  <c r="BP4" i="7"/>
  <c r="BP5" i="7"/>
  <c r="BP6" i="7"/>
  <c r="BP7" i="7"/>
  <c r="BP8" i="7"/>
  <c r="BP10" i="7"/>
  <c r="BP11" i="7"/>
  <c r="BP12" i="7"/>
  <c r="BP13" i="7"/>
  <c r="BP14" i="7"/>
  <c r="BP15" i="7"/>
  <c r="BP16" i="7"/>
  <c r="BP17" i="7"/>
  <c r="BP19" i="7"/>
  <c r="BP20" i="7"/>
  <c r="BP21" i="7"/>
  <c r="BP22" i="7"/>
  <c r="BP23" i="7"/>
  <c r="BP24" i="7"/>
  <c r="BP26" i="7"/>
  <c r="BP27" i="7"/>
  <c r="BP28" i="7"/>
  <c r="BP29" i="7"/>
  <c r="BP30" i="7"/>
  <c r="BP31" i="7"/>
  <c r="BP32" i="7"/>
  <c r="BP33" i="7"/>
  <c r="BP35" i="7"/>
  <c r="BP36" i="7"/>
  <c r="BP37" i="7"/>
  <c r="BP38" i="7"/>
  <c r="BP39" i="7"/>
  <c r="BP40" i="7"/>
  <c r="BP41" i="7"/>
  <c r="BP42" i="7"/>
  <c r="BP44" i="7"/>
  <c r="BP45" i="7"/>
  <c r="BP46" i="7"/>
  <c r="BP47" i="7"/>
  <c r="BP48" i="7"/>
  <c r="BP49" i="7"/>
  <c r="BP50" i="7"/>
  <c r="BP51" i="7"/>
  <c r="BP52" i="7"/>
  <c r="BP54" i="7"/>
  <c r="BP55" i="7"/>
  <c r="DO61" i="7" s="1"/>
  <c r="BP56" i="7"/>
  <c r="BP57" i="7"/>
  <c r="BP58" i="7"/>
  <c r="BP59" i="7"/>
  <c r="BP60" i="7"/>
  <c r="BP61" i="7"/>
  <c r="BP62" i="7"/>
  <c r="BP64" i="7"/>
  <c r="BP65" i="7"/>
  <c r="BP66" i="7"/>
  <c r="BP67" i="7"/>
  <c r="BP68" i="7"/>
  <c r="BP69" i="7"/>
  <c r="BP70" i="7"/>
  <c r="BP71" i="7"/>
  <c r="BP72" i="7"/>
  <c r="BP73" i="7"/>
  <c r="BP75" i="7"/>
  <c r="BP76" i="7"/>
  <c r="BP77" i="7"/>
  <c r="BP78" i="7"/>
  <c r="BP79" i="7"/>
  <c r="BP80" i="7"/>
  <c r="BP81" i="7"/>
  <c r="BP82" i="7"/>
  <c r="BP83" i="7"/>
  <c r="BP85" i="7"/>
  <c r="BP86" i="7"/>
  <c r="BP87" i="7"/>
  <c r="BP88" i="7"/>
  <c r="BP89" i="7"/>
  <c r="BP90" i="7"/>
  <c r="BP3" i="7"/>
  <c r="DO4" i="7" s="1"/>
  <c r="BN4" i="7"/>
  <c r="BN5" i="7"/>
  <c r="BN6" i="7"/>
  <c r="BN7" i="7"/>
  <c r="BN8" i="7"/>
  <c r="BN10" i="7"/>
  <c r="BN11" i="7"/>
  <c r="BN12" i="7"/>
  <c r="BN13" i="7"/>
  <c r="DN14" i="7" s="1"/>
  <c r="BN14" i="7"/>
  <c r="BN15" i="7"/>
  <c r="BN16" i="7"/>
  <c r="BN17" i="7"/>
  <c r="BN19" i="7"/>
  <c r="BN20" i="7"/>
  <c r="DN20" i="7" s="1"/>
  <c r="BN21" i="7"/>
  <c r="BN22" i="7"/>
  <c r="BN23" i="7"/>
  <c r="BN24" i="7"/>
  <c r="BN26" i="7"/>
  <c r="BN27" i="7"/>
  <c r="BN28" i="7"/>
  <c r="DN31" i="7" s="1"/>
  <c r="BN29" i="7"/>
  <c r="BN30" i="7"/>
  <c r="BN31" i="7"/>
  <c r="BN32" i="7"/>
  <c r="BN33" i="7"/>
  <c r="BN35" i="7"/>
  <c r="BN36" i="7"/>
  <c r="BN37" i="7"/>
  <c r="BN38" i="7"/>
  <c r="BN39" i="7"/>
  <c r="BN40" i="7"/>
  <c r="BN41" i="7"/>
  <c r="BN42" i="7"/>
  <c r="BN44" i="7"/>
  <c r="BN45" i="7"/>
  <c r="BN46" i="7"/>
  <c r="BN47" i="7"/>
  <c r="BN48" i="7"/>
  <c r="BN49" i="7"/>
  <c r="BN50" i="7"/>
  <c r="BN51" i="7"/>
  <c r="BN52" i="7"/>
  <c r="BN54" i="7"/>
  <c r="BN55" i="7"/>
  <c r="BN56" i="7"/>
  <c r="BN57" i="7"/>
  <c r="BN58" i="7"/>
  <c r="BN59" i="7"/>
  <c r="BN60" i="7"/>
  <c r="BN61" i="7"/>
  <c r="BN62" i="7"/>
  <c r="BN64" i="7"/>
  <c r="BN65" i="7"/>
  <c r="BN66" i="7"/>
  <c r="BN67" i="7"/>
  <c r="BN68" i="7"/>
  <c r="BN69" i="7"/>
  <c r="BN70" i="7"/>
  <c r="BN71" i="7"/>
  <c r="BN72" i="7"/>
  <c r="BN73" i="7"/>
  <c r="BN75" i="7"/>
  <c r="BN76" i="7"/>
  <c r="BN77" i="7"/>
  <c r="BN78" i="7"/>
  <c r="BN79" i="7"/>
  <c r="BN80" i="7"/>
  <c r="BN81" i="7"/>
  <c r="BN82" i="7"/>
  <c r="BN83" i="7"/>
  <c r="BN85" i="7"/>
  <c r="BN86" i="7"/>
  <c r="BN87" i="7"/>
  <c r="BN88" i="7"/>
  <c r="BN89" i="7"/>
  <c r="BN90" i="7"/>
  <c r="BN3" i="7"/>
  <c r="BL4" i="7"/>
  <c r="BL5" i="7"/>
  <c r="BL6" i="7"/>
  <c r="BL7" i="7"/>
  <c r="BL8" i="7"/>
  <c r="BL10" i="7"/>
  <c r="BL11" i="7"/>
  <c r="BL12" i="7"/>
  <c r="BL13" i="7"/>
  <c r="BL14" i="7"/>
  <c r="BL15" i="7"/>
  <c r="BL16" i="7"/>
  <c r="BL17" i="7"/>
  <c r="BL19" i="7"/>
  <c r="BL20" i="7"/>
  <c r="BL21" i="7"/>
  <c r="BL22" i="7"/>
  <c r="BL23" i="7"/>
  <c r="BL24" i="7"/>
  <c r="BL26" i="7"/>
  <c r="BL27" i="7"/>
  <c r="BL28" i="7"/>
  <c r="BL29" i="7"/>
  <c r="BL30" i="7"/>
  <c r="BL31" i="7"/>
  <c r="BL32" i="7"/>
  <c r="BL33" i="7"/>
  <c r="BL35" i="7"/>
  <c r="BL36" i="7"/>
  <c r="BL37" i="7"/>
  <c r="BL38" i="7"/>
  <c r="BL39" i="7"/>
  <c r="BL40" i="7"/>
  <c r="BL41" i="7"/>
  <c r="BL42" i="7"/>
  <c r="BL44" i="7"/>
  <c r="BL45" i="7"/>
  <c r="BL46" i="7"/>
  <c r="BL47" i="7"/>
  <c r="BL48" i="7"/>
  <c r="BL49" i="7"/>
  <c r="BL50" i="7"/>
  <c r="BL51" i="7"/>
  <c r="BL52" i="7"/>
  <c r="BL54" i="7"/>
  <c r="BL55" i="7"/>
  <c r="BL56" i="7"/>
  <c r="BL57" i="7"/>
  <c r="BL58" i="7"/>
  <c r="BL59" i="7"/>
  <c r="BL60" i="7"/>
  <c r="BL61" i="7"/>
  <c r="BL62" i="7"/>
  <c r="BL64" i="7"/>
  <c r="BL65" i="7"/>
  <c r="BL66" i="7"/>
  <c r="BL67" i="7"/>
  <c r="BL68" i="7"/>
  <c r="BL69" i="7"/>
  <c r="BL70" i="7"/>
  <c r="BL71" i="7"/>
  <c r="BL72" i="7"/>
  <c r="BL73" i="7"/>
  <c r="BL75" i="7"/>
  <c r="BL76" i="7"/>
  <c r="BL77" i="7"/>
  <c r="BL78" i="7"/>
  <c r="BL79" i="7"/>
  <c r="BL80" i="7"/>
  <c r="BL81" i="7"/>
  <c r="BL82" i="7"/>
  <c r="BL83" i="7"/>
  <c r="BL85" i="7"/>
  <c r="BL86" i="7"/>
  <c r="BL87" i="7"/>
  <c r="BL88" i="7"/>
  <c r="BL89" i="7"/>
  <c r="BL90" i="7"/>
  <c r="BL3" i="7"/>
  <c r="BJ4" i="7"/>
  <c r="BJ5" i="7"/>
  <c r="BJ6" i="7"/>
  <c r="BJ7" i="7"/>
  <c r="BJ8" i="7"/>
  <c r="BJ10" i="7"/>
  <c r="BJ11" i="7"/>
  <c r="BJ12" i="7"/>
  <c r="DL12" i="7" s="1"/>
  <c r="BJ13" i="7"/>
  <c r="BJ14" i="7"/>
  <c r="BJ15" i="7"/>
  <c r="BJ16" i="7"/>
  <c r="BJ17" i="7"/>
  <c r="BJ19" i="7"/>
  <c r="BJ20" i="7"/>
  <c r="BJ21" i="7"/>
  <c r="BJ22" i="7"/>
  <c r="BJ23" i="7"/>
  <c r="BJ24" i="7"/>
  <c r="BJ26" i="7"/>
  <c r="BJ27" i="7"/>
  <c r="BJ28" i="7"/>
  <c r="BJ29" i="7"/>
  <c r="BJ30" i="7"/>
  <c r="BJ31" i="7"/>
  <c r="BJ32" i="7"/>
  <c r="BJ33" i="7"/>
  <c r="BJ35" i="7"/>
  <c r="BJ36" i="7"/>
  <c r="BJ37" i="7"/>
  <c r="BJ38" i="7"/>
  <c r="BJ39" i="7"/>
  <c r="BJ40" i="7"/>
  <c r="BJ41" i="7"/>
  <c r="BJ42" i="7"/>
  <c r="BJ44" i="7"/>
  <c r="BJ45" i="7"/>
  <c r="DL47" i="7" s="1"/>
  <c r="BJ46" i="7"/>
  <c r="BJ47" i="7"/>
  <c r="BJ48" i="7"/>
  <c r="BJ49" i="7"/>
  <c r="BJ50" i="7"/>
  <c r="BJ51" i="7"/>
  <c r="BJ52" i="7"/>
  <c r="BJ54" i="7"/>
  <c r="BJ55" i="7"/>
  <c r="BJ56" i="7"/>
  <c r="BJ57" i="7"/>
  <c r="BJ58" i="7"/>
  <c r="BJ59" i="7"/>
  <c r="BJ60" i="7"/>
  <c r="BJ61" i="7"/>
  <c r="BJ62" i="7"/>
  <c r="BJ64" i="7"/>
  <c r="BJ65" i="7"/>
  <c r="BJ66" i="7"/>
  <c r="BJ67" i="7"/>
  <c r="BJ68" i="7"/>
  <c r="BJ69" i="7"/>
  <c r="BJ70" i="7"/>
  <c r="BJ71" i="7"/>
  <c r="BJ72" i="7"/>
  <c r="BJ73" i="7"/>
  <c r="BJ75" i="7"/>
  <c r="BJ76" i="7"/>
  <c r="BJ77" i="7"/>
  <c r="BJ78" i="7"/>
  <c r="BJ79" i="7"/>
  <c r="BJ80" i="7"/>
  <c r="BJ81" i="7"/>
  <c r="BJ82" i="7"/>
  <c r="BJ83" i="7"/>
  <c r="BJ85" i="7"/>
  <c r="BJ86" i="7"/>
  <c r="BJ87" i="7"/>
  <c r="BJ88" i="7"/>
  <c r="BJ89" i="7"/>
  <c r="BJ90" i="7"/>
  <c r="BJ3" i="7"/>
  <c r="DL6" i="7" s="1"/>
  <c r="BH4" i="7"/>
  <c r="DK6" i="7" s="1"/>
  <c r="BH5" i="7"/>
  <c r="BH6" i="7"/>
  <c r="BH7" i="7"/>
  <c r="BH8" i="7"/>
  <c r="BH10" i="7"/>
  <c r="BH11" i="7"/>
  <c r="BH12" i="7"/>
  <c r="BH13" i="7"/>
  <c r="BH14" i="7"/>
  <c r="BH15" i="7"/>
  <c r="BH16" i="7"/>
  <c r="BH17" i="7"/>
  <c r="BH19" i="7"/>
  <c r="BH20" i="7"/>
  <c r="BH21" i="7"/>
  <c r="BH22" i="7"/>
  <c r="BH23" i="7"/>
  <c r="BH24" i="7"/>
  <c r="BH26" i="7"/>
  <c r="BH27" i="7"/>
  <c r="BH28" i="7"/>
  <c r="BH29" i="7"/>
  <c r="BH30" i="7"/>
  <c r="BH31" i="7"/>
  <c r="BH32" i="7"/>
  <c r="BH33" i="7"/>
  <c r="BH35" i="7"/>
  <c r="BH36" i="7"/>
  <c r="BH37" i="7"/>
  <c r="BH38" i="7"/>
  <c r="BH39" i="7"/>
  <c r="BH40" i="7"/>
  <c r="BH41" i="7"/>
  <c r="BH42" i="7"/>
  <c r="BH44" i="7"/>
  <c r="BH45" i="7"/>
  <c r="BH46" i="7"/>
  <c r="BH47" i="7"/>
  <c r="BH48" i="7"/>
  <c r="BH49" i="7"/>
  <c r="BH50" i="7"/>
  <c r="BH51" i="7"/>
  <c r="BH52" i="7"/>
  <c r="BH54" i="7"/>
  <c r="BH55" i="7"/>
  <c r="BH56" i="7"/>
  <c r="BH57" i="7"/>
  <c r="BH58" i="7"/>
  <c r="BH59" i="7"/>
  <c r="BH60" i="7"/>
  <c r="BH61" i="7"/>
  <c r="BH62" i="7"/>
  <c r="BH64" i="7"/>
  <c r="BH65" i="7"/>
  <c r="DK65" i="7" s="1"/>
  <c r="BH66" i="7"/>
  <c r="BH67" i="7"/>
  <c r="BH68" i="7"/>
  <c r="BH69" i="7"/>
  <c r="BH70" i="7"/>
  <c r="BH71" i="7"/>
  <c r="BH72" i="7"/>
  <c r="BH73" i="7"/>
  <c r="BH75" i="7"/>
  <c r="BH76" i="7"/>
  <c r="BH77" i="7"/>
  <c r="BH78" i="7"/>
  <c r="BH79" i="7"/>
  <c r="BH80" i="7"/>
  <c r="BH81" i="7"/>
  <c r="BH82" i="7"/>
  <c r="BH83" i="7"/>
  <c r="BH85" i="7"/>
  <c r="BH86" i="7"/>
  <c r="BH87" i="7"/>
  <c r="BH88" i="7"/>
  <c r="BH89" i="7"/>
  <c r="BH90" i="7"/>
  <c r="BH3" i="7"/>
  <c r="BF4" i="7"/>
  <c r="BF5" i="7"/>
  <c r="BF6" i="7"/>
  <c r="BF7" i="7"/>
  <c r="BF8" i="7"/>
  <c r="BF10" i="7"/>
  <c r="BF11" i="7"/>
  <c r="BF12" i="7"/>
  <c r="BF13" i="7"/>
  <c r="BF14" i="7"/>
  <c r="BF15" i="7"/>
  <c r="BF16" i="7"/>
  <c r="BF17" i="7"/>
  <c r="BF19" i="7"/>
  <c r="BF20" i="7"/>
  <c r="BF21" i="7"/>
  <c r="BF22" i="7"/>
  <c r="BF23" i="7"/>
  <c r="BF24" i="7"/>
  <c r="BF26" i="7"/>
  <c r="BF27" i="7"/>
  <c r="BF28" i="7"/>
  <c r="BF29" i="7"/>
  <c r="BF30" i="7"/>
  <c r="BF31" i="7"/>
  <c r="BF32" i="7"/>
  <c r="BF33" i="7"/>
  <c r="BF35" i="7"/>
  <c r="BF36" i="7"/>
  <c r="DJ38" i="7" s="1"/>
  <c r="BF37" i="7"/>
  <c r="BF38" i="7"/>
  <c r="BF39" i="7"/>
  <c r="BF40" i="7"/>
  <c r="BF41" i="7"/>
  <c r="BF42" i="7"/>
  <c r="BF44" i="7"/>
  <c r="BF45" i="7"/>
  <c r="BF46" i="7"/>
  <c r="BF47" i="7"/>
  <c r="BF48" i="7"/>
  <c r="BF49" i="7"/>
  <c r="BF50" i="7"/>
  <c r="BF51" i="7"/>
  <c r="BF52" i="7"/>
  <c r="BF54" i="7"/>
  <c r="BF55" i="7"/>
  <c r="BF56" i="7"/>
  <c r="BF57" i="7"/>
  <c r="BF58" i="7"/>
  <c r="BF59" i="7"/>
  <c r="BF60" i="7"/>
  <c r="BF61" i="7"/>
  <c r="BF62" i="7"/>
  <c r="BF64" i="7"/>
  <c r="BF65" i="7"/>
  <c r="BF66" i="7"/>
  <c r="BF67" i="7"/>
  <c r="BF68" i="7"/>
  <c r="BF69" i="7"/>
  <c r="BF70" i="7"/>
  <c r="BF71" i="7"/>
  <c r="BF72" i="7"/>
  <c r="BF73" i="7"/>
  <c r="BF75" i="7"/>
  <c r="BF76" i="7"/>
  <c r="BF77" i="7"/>
  <c r="BF78" i="7"/>
  <c r="BF79" i="7"/>
  <c r="BF80" i="7"/>
  <c r="BF81" i="7"/>
  <c r="BF82" i="7"/>
  <c r="BF83" i="7"/>
  <c r="BF85" i="7"/>
  <c r="BF86" i="7"/>
  <c r="BF87" i="7"/>
  <c r="BF88" i="7"/>
  <c r="BF89" i="7"/>
  <c r="BF90" i="7"/>
  <c r="BF3" i="7"/>
  <c r="DJ7" i="7" s="1"/>
  <c r="BD4" i="7"/>
  <c r="BD5" i="7"/>
  <c r="BD6" i="7"/>
  <c r="BD7" i="7"/>
  <c r="BD8" i="7"/>
  <c r="BD10" i="7"/>
  <c r="BD11" i="7"/>
  <c r="DI16" i="7" s="1"/>
  <c r="BD12" i="7"/>
  <c r="BD13" i="7"/>
  <c r="BD14" i="7"/>
  <c r="BD15" i="7"/>
  <c r="BD16" i="7"/>
  <c r="BD17" i="7"/>
  <c r="BD19" i="7"/>
  <c r="BD20" i="7"/>
  <c r="BD21" i="7"/>
  <c r="BD22" i="7"/>
  <c r="BD23" i="7"/>
  <c r="BD24" i="7"/>
  <c r="BD26" i="7"/>
  <c r="BD27" i="7"/>
  <c r="BD28" i="7"/>
  <c r="BD29" i="7"/>
  <c r="BD30" i="7"/>
  <c r="BD31" i="7"/>
  <c r="BD32" i="7"/>
  <c r="BD33" i="7"/>
  <c r="BD35" i="7"/>
  <c r="BD36" i="7"/>
  <c r="BD37" i="7"/>
  <c r="BD38" i="7"/>
  <c r="BD39" i="7"/>
  <c r="BD40" i="7"/>
  <c r="BD41" i="7"/>
  <c r="BD42" i="7"/>
  <c r="BD44" i="7"/>
  <c r="BD45" i="7"/>
  <c r="BD46" i="7"/>
  <c r="BD47" i="7"/>
  <c r="BD48" i="7"/>
  <c r="BD49" i="7"/>
  <c r="BD50" i="7"/>
  <c r="BD51" i="7"/>
  <c r="BD52" i="7"/>
  <c r="BD54" i="7"/>
  <c r="BD55" i="7"/>
  <c r="BD56" i="7"/>
  <c r="BD57" i="7"/>
  <c r="BD58" i="7"/>
  <c r="BD59" i="7"/>
  <c r="BD60" i="7"/>
  <c r="BD61" i="7"/>
  <c r="BD62" i="7"/>
  <c r="BD64" i="7"/>
  <c r="BD65" i="7"/>
  <c r="BD66" i="7"/>
  <c r="BD67" i="7"/>
  <c r="BD68" i="7"/>
  <c r="BD69" i="7"/>
  <c r="BD70" i="7"/>
  <c r="BD71" i="7"/>
  <c r="BD72" i="7"/>
  <c r="BD73" i="7"/>
  <c r="BD75" i="7"/>
  <c r="BD76" i="7"/>
  <c r="BD77" i="7"/>
  <c r="BD78" i="7"/>
  <c r="BD79" i="7"/>
  <c r="BD80" i="7"/>
  <c r="BD81" i="7"/>
  <c r="BD82" i="7"/>
  <c r="BD83" i="7"/>
  <c r="BD85" i="7"/>
  <c r="BD86" i="7"/>
  <c r="BD87" i="7"/>
  <c r="BD88" i="7"/>
  <c r="BD89" i="7"/>
  <c r="BD90" i="7"/>
  <c r="BD3" i="7"/>
  <c r="BB4" i="7"/>
  <c r="BB5" i="7"/>
  <c r="BB6" i="7"/>
  <c r="BB7" i="7"/>
  <c r="BB8" i="7"/>
  <c r="BB10" i="7"/>
  <c r="BB11" i="7"/>
  <c r="BB12" i="7"/>
  <c r="BB13" i="7"/>
  <c r="BB14" i="7"/>
  <c r="BB15" i="7"/>
  <c r="BB16" i="7"/>
  <c r="BB17" i="7"/>
  <c r="BB19" i="7"/>
  <c r="BB20" i="7"/>
  <c r="BB21" i="7"/>
  <c r="BB22" i="7"/>
  <c r="BB23" i="7"/>
  <c r="BB24" i="7"/>
  <c r="BB26" i="7"/>
  <c r="BB27" i="7"/>
  <c r="BB28" i="7"/>
  <c r="BB29" i="7"/>
  <c r="BB30" i="7"/>
  <c r="BB31" i="7"/>
  <c r="BB32" i="7"/>
  <c r="BB33" i="7"/>
  <c r="BB35" i="7"/>
  <c r="BB36" i="7"/>
  <c r="DH36" i="7" s="1"/>
  <c r="BB37" i="7"/>
  <c r="BB38" i="7"/>
  <c r="BB39" i="7"/>
  <c r="BB40" i="7"/>
  <c r="BB41" i="7"/>
  <c r="BB42" i="7"/>
  <c r="BB44" i="7"/>
  <c r="BB45" i="7"/>
  <c r="BB46" i="7"/>
  <c r="BB47" i="7"/>
  <c r="BB48" i="7"/>
  <c r="BB49" i="7"/>
  <c r="BB50" i="7"/>
  <c r="BB51" i="7"/>
  <c r="BB52" i="7"/>
  <c r="BB54" i="7"/>
  <c r="BB55" i="7"/>
  <c r="BB56" i="7"/>
  <c r="BB57" i="7"/>
  <c r="BB58" i="7"/>
  <c r="BB59" i="7"/>
  <c r="BB60" i="7"/>
  <c r="BB61" i="7"/>
  <c r="BB62" i="7"/>
  <c r="BB64" i="7"/>
  <c r="BB65" i="7"/>
  <c r="BB66" i="7"/>
  <c r="BB67" i="7"/>
  <c r="BB68" i="7"/>
  <c r="BB69" i="7"/>
  <c r="BB70" i="7"/>
  <c r="BB71" i="7"/>
  <c r="BB72" i="7"/>
  <c r="BB73" i="7"/>
  <c r="BB75" i="7"/>
  <c r="BB76" i="7"/>
  <c r="BB77" i="7"/>
  <c r="BB78" i="7"/>
  <c r="BB79" i="7"/>
  <c r="BB80" i="7"/>
  <c r="BB81" i="7"/>
  <c r="BB82" i="7"/>
  <c r="BB83" i="7"/>
  <c r="BB85" i="7"/>
  <c r="BB86" i="7"/>
  <c r="BB87" i="7"/>
  <c r="BB88" i="7"/>
  <c r="BB89" i="7"/>
  <c r="BB90" i="7"/>
  <c r="BB3" i="7"/>
  <c r="AZ4" i="7"/>
  <c r="AZ5" i="7"/>
  <c r="AZ6" i="7"/>
  <c r="AZ7" i="7"/>
  <c r="AZ8" i="7"/>
  <c r="AZ10" i="7"/>
  <c r="AZ11" i="7"/>
  <c r="AZ12" i="7"/>
  <c r="AZ13" i="7"/>
  <c r="AZ14" i="7"/>
  <c r="AZ15" i="7"/>
  <c r="AZ16" i="7"/>
  <c r="AZ17" i="7"/>
  <c r="AZ19" i="7"/>
  <c r="AZ20" i="7"/>
  <c r="AZ21" i="7"/>
  <c r="AZ22" i="7"/>
  <c r="AZ23" i="7"/>
  <c r="AZ24" i="7"/>
  <c r="AZ26" i="7"/>
  <c r="AZ27" i="7"/>
  <c r="AZ28" i="7"/>
  <c r="AZ29" i="7"/>
  <c r="AZ30" i="7"/>
  <c r="AZ31" i="7"/>
  <c r="AZ32" i="7"/>
  <c r="AZ33" i="7"/>
  <c r="AZ35" i="7"/>
  <c r="AZ36" i="7"/>
  <c r="AZ37" i="7"/>
  <c r="AZ38" i="7"/>
  <c r="AZ39" i="7"/>
  <c r="AZ40" i="7"/>
  <c r="AZ41" i="7"/>
  <c r="AZ42" i="7"/>
  <c r="AZ44" i="7"/>
  <c r="AZ45" i="7"/>
  <c r="AZ46" i="7"/>
  <c r="AZ47" i="7"/>
  <c r="AZ48" i="7"/>
  <c r="AZ49" i="7"/>
  <c r="AZ50" i="7"/>
  <c r="AZ51" i="7"/>
  <c r="AZ52" i="7"/>
  <c r="AZ54" i="7"/>
  <c r="AZ55" i="7"/>
  <c r="DG57" i="7" s="1"/>
  <c r="AZ56" i="7"/>
  <c r="AZ57" i="7"/>
  <c r="AZ58" i="7"/>
  <c r="AZ59" i="7"/>
  <c r="AZ60" i="7"/>
  <c r="AZ61" i="7"/>
  <c r="AZ62" i="7"/>
  <c r="AZ64" i="7"/>
  <c r="AZ65" i="7"/>
  <c r="AZ66" i="7"/>
  <c r="AZ67" i="7"/>
  <c r="AZ68" i="7"/>
  <c r="AZ69" i="7"/>
  <c r="AZ70" i="7"/>
  <c r="AZ71" i="7"/>
  <c r="AZ72" i="7"/>
  <c r="AZ73" i="7"/>
  <c r="AZ75" i="7"/>
  <c r="AZ76" i="7"/>
  <c r="AZ77" i="7"/>
  <c r="AZ78" i="7"/>
  <c r="AZ79" i="7"/>
  <c r="AZ80" i="7"/>
  <c r="AZ81" i="7"/>
  <c r="AZ82" i="7"/>
  <c r="AZ83" i="7"/>
  <c r="AZ85" i="7"/>
  <c r="AZ86" i="7"/>
  <c r="AZ87" i="7"/>
  <c r="AZ88" i="7"/>
  <c r="AZ89" i="7"/>
  <c r="AZ90" i="7"/>
  <c r="AZ3" i="7"/>
  <c r="AX90" i="7"/>
  <c r="AX89" i="7"/>
  <c r="AX88" i="7"/>
  <c r="AX87" i="7"/>
  <c r="AX86" i="7"/>
  <c r="AX85" i="7"/>
  <c r="AX83" i="7"/>
  <c r="AX82" i="7"/>
  <c r="AX81" i="7"/>
  <c r="AX80" i="7"/>
  <c r="AX79" i="7"/>
  <c r="AX78" i="7"/>
  <c r="AX77" i="7"/>
  <c r="AX76" i="7"/>
  <c r="AX75" i="7"/>
  <c r="DF77" i="7" s="1"/>
  <c r="AX73" i="7"/>
  <c r="AX72" i="7"/>
  <c r="AX71" i="7"/>
  <c r="AX70" i="7"/>
  <c r="AX69" i="7"/>
  <c r="AX68" i="7"/>
  <c r="AX67" i="7"/>
  <c r="AX66" i="7"/>
  <c r="AX65" i="7"/>
  <c r="AX64" i="7"/>
  <c r="AX62" i="7"/>
  <c r="AX61" i="7"/>
  <c r="AX60" i="7"/>
  <c r="AX59" i="7"/>
  <c r="AX58" i="7"/>
  <c r="AX57" i="7"/>
  <c r="AX56" i="7"/>
  <c r="AX55" i="7"/>
  <c r="AX54" i="7"/>
  <c r="AX52" i="7"/>
  <c r="AX51" i="7"/>
  <c r="AX50" i="7"/>
  <c r="AX49" i="7"/>
  <c r="AX48" i="7"/>
  <c r="AX47" i="7"/>
  <c r="AX46" i="7"/>
  <c r="AX45" i="7"/>
  <c r="AX44" i="7"/>
  <c r="AX42" i="7"/>
  <c r="AX41" i="7"/>
  <c r="AX40" i="7"/>
  <c r="AX39" i="7"/>
  <c r="AX38" i="7"/>
  <c r="AX37" i="7"/>
  <c r="AX36" i="7"/>
  <c r="AX35" i="7"/>
  <c r="AX33" i="7"/>
  <c r="AX32" i="7"/>
  <c r="AX31" i="7"/>
  <c r="AX30" i="7"/>
  <c r="AX29" i="7"/>
  <c r="AX28" i="7"/>
  <c r="AX27" i="7"/>
  <c r="AX26" i="7"/>
  <c r="AX24" i="7"/>
  <c r="AX23" i="7"/>
  <c r="AX22" i="7"/>
  <c r="AX21" i="7"/>
  <c r="AX20" i="7"/>
  <c r="DF23" i="7" s="1"/>
  <c r="AX19" i="7"/>
  <c r="AX17" i="7"/>
  <c r="AX16" i="7"/>
  <c r="AX15" i="7"/>
  <c r="AX14" i="7"/>
  <c r="AX13" i="7"/>
  <c r="AX12" i="7"/>
  <c r="AX11" i="7"/>
  <c r="AX10" i="7"/>
  <c r="AX8" i="7"/>
  <c r="AX7" i="7"/>
  <c r="AX6" i="7"/>
  <c r="AX5" i="7"/>
  <c r="AX4" i="7"/>
  <c r="AX3" i="7"/>
  <c r="AV4" i="7"/>
  <c r="AV5" i="7"/>
  <c r="AV6" i="7"/>
  <c r="AV7" i="7"/>
  <c r="AV8" i="7"/>
  <c r="AV10" i="7"/>
  <c r="AV11" i="7"/>
  <c r="DE14" i="7" s="1"/>
  <c r="AV12" i="7"/>
  <c r="AV13" i="7"/>
  <c r="AV14" i="7"/>
  <c r="AV15" i="7"/>
  <c r="AV16" i="7"/>
  <c r="AV17" i="7"/>
  <c r="AV19" i="7"/>
  <c r="AV20" i="7"/>
  <c r="AV21" i="7"/>
  <c r="AV22" i="7"/>
  <c r="AV23" i="7"/>
  <c r="AV24" i="7"/>
  <c r="AV26" i="7"/>
  <c r="AV27" i="7"/>
  <c r="AV28" i="7"/>
  <c r="AV29" i="7"/>
  <c r="AV30" i="7"/>
  <c r="AV31" i="7"/>
  <c r="AV32" i="7"/>
  <c r="AV33" i="7"/>
  <c r="AV35" i="7"/>
  <c r="AV36" i="7"/>
  <c r="AV37" i="7"/>
  <c r="AV38" i="7"/>
  <c r="AV39" i="7"/>
  <c r="AV40" i="7"/>
  <c r="AV41" i="7"/>
  <c r="AV42" i="7"/>
  <c r="AV44" i="7"/>
  <c r="AV45" i="7"/>
  <c r="AV46" i="7"/>
  <c r="AV47" i="7"/>
  <c r="AV48" i="7"/>
  <c r="AV49" i="7"/>
  <c r="AV50" i="7"/>
  <c r="AV51" i="7"/>
  <c r="AV52" i="7"/>
  <c r="AV54" i="7"/>
  <c r="AV55" i="7"/>
  <c r="AV56" i="7"/>
  <c r="AV57" i="7"/>
  <c r="AV58" i="7"/>
  <c r="AV59" i="7"/>
  <c r="AV60" i="7"/>
  <c r="AV61" i="7"/>
  <c r="AV62" i="7"/>
  <c r="AV64" i="7"/>
  <c r="AV65" i="7"/>
  <c r="AV66" i="7"/>
  <c r="AV67" i="7"/>
  <c r="AV68" i="7"/>
  <c r="AV69" i="7"/>
  <c r="AV70" i="7"/>
  <c r="AV71" i="7"/>
  <c r="AV72" i="7"/>
  <c r="AV73" i="7"/>
  <c r="AV75" i="7"/>
  <c r="AV76" i="7"/>
  <c r="AV77" i="7"/>
  <c r="AV78" i="7"/>
  <c r="AV79" i="7"/>
  <c r="AV80" i="7"/>
  <c r="AV81" i="7"/>
  <c r="AV82" i="7"/>
  <c r="AV83" i="7"/>
  <c r="AV85" i="7"/>
  <c r="AV86" i="7"/>
  <c r="AV87" i="7"/>
  <c r="AV88" i="7"/>
  <c r="AV89" i="7"/>
  <c r="AV90" i="7"/>
  <c r="AV3" i="7"/>
  <c r="DE4" i="7" s="1"/>
  <c r="AT4" i="7"/>
  <c r="DD5" i="7" s="1"/>
  <c r="AT5" i="7"/>
  <c r="AT6" i="7"/>
  <c r="AT7" i="7"/>
  <c r="AT8" i="7"/>
  <c r="AT10" i="7"/>
  <c r="AT11" i="7"/>
  <c r="AT12" i="7"/>
  <c r="AT13" i="7"/>
  <c r="AT14" i="7"/>
  <c r="AT15" i="7"/>
  <c r="AT16" i="7"/>
  <c r="AT17" i="7"/>
  <c r="AT19" i="7"/>
  <c r="AT20" i="7"/>
  <c r="AT21" i="7"/>
  <c r="AT22" i="7"/>
  <c r="AT23" i="7"/>
  <c r="AT24" i="7"/>
  <c r="AT26" i="7"/>
  <c r="AT27" i="7"/>
  <c r="AT28" i="7"/>
  <c r="AT29" i="7"/>
  <c r="AT30" i="7"/>
  <c r="AT31" i="7"/>
  <c r="AT32" i="7"/>
  <c r="AT33" i="7"/>
  <c r="AT35" i="7"/>
  <c r="AT36" i="7"/>
  <c r="AT37" i="7"/>
  <c r="AT38" i="7"/>
  <c r="AT39" i="7"/>
  <c r="AT40" i="7"/>
  <c r="AT41" i="7"/>
  <c r="AT42" i="7"/>
  <c r="AT44" i="7"/>
  <c r="AT45" i="7"/>
  <c r="AT46" i="7"/>
  <c r="AT47" i="7"/>
  <c r="AT48" i="7"/>
  <c r="AT49" i="7"/>
  <c r="AT50" i="7"/>
  <c r="AT51" i="7"/>
  <c r="AT52" i="7"/>
  <c r="AT54" i="7"/>
  <c r="AT55" i="7"/>
  <c r="AT56" i="7"/>
  <c r="AT57" i="7"/>
  <c r="AT58" i="7"/>
  <c r="AT59" i="7"/>
  <c r="AT60" i="7"/>
  <c r="AT61" i="7"/>
  <c r="AT62" i="7"/>
  <c r="AT64" i="7"/>
  <c r="AT65" i="7"/>
  <c r="AT66" i="7"/>
  <c r="AT67" i="7"/>
  <c r="AT68" i="7"/>
  <c r="AT69" i="7"/>
  <c r="AT70" i="7"/>
  <c r="AT71" i="7"/>
  <c r="AT72" i="7"/>
  <c r="AT73" i="7"/>
  <c r="AT75" i="7"/>
  <c r="AT76" i="7"/>
  <c r="AT77" i="7"/>
  <c r="AT78" i="7"/>
  <c r="AT79" i="7"/>
  <c r="AT80" i="7"/>
  <c r="AT81" i="7"/>
  <c r="AT82" i="7"/>
  <c r="AT83" i="7"/>
  <c r="AT85" i="7"/>
  <c r="AT86" i="7"/>
  <c r="AT87" i="7"/>
  <c r="AT88" i="7"/>
  <c r="AT89" i="7"/>
  <c r="AT90" i="7"/>
  <c r="AT3" i="7"/>
  <c r="AR90" i="7"/>
  <c r="AR89" i="7"/>
  <c r="AR88" i="7"/>
  <c r="AR87" i="7"/>
  <c r="AR86" i="7"/>
  <c r="AR85" i="7"/>
  <c r="AR83" i="7"/>
  <c r="AR82" i="7"/>
  <c r="AR81" i="7"/>
  <c r="AR80" i="7"/>
  <c r="AR79" i="7"/>
  <c r="AR78" i="7"/>
  <c r="AR77" i="7"/>
  <c r="AR76" i="7"/>
  <c r="AR75" i="7"/>
  <c r="AR73" i="7"/>
  <c r="AR72" i="7"/>
  <c r="AR71" i="7"/>
  <c r="AR70" i="7"/>
  <c r="AR69" i="7"/>
  <c r="AR68" i="7"/>
  <c r="AR67" i="7"/>
  <c r="AR66" i="7"/>
  <c r="AR65" i="7"/>
  <c r="AR64" i="7"/>
  <c r="AR62" i="7"/>
  <c r="AR61" i="7"/>
  <c r="AR60" i="7"/>
  <c r="AR59" i="7"/>
  <c r="AR58" i="7"/>
  <c r="AR57" i="7"/>
  <c r="AR56" i="7"/>
  <c r="AR55" i="7"/>
  <c r="AR54" i="7"/>
  <c r="AR52" i="7"/>
  <c r="AR51" i="7"/>
  <c r="AR50" i="7"/>
  <c r="AR49" i="7"/>
  <c r="AR48" i="7"/>
  <c r="AR47" i="7"/>
  <c r="AR46" i="7"/>
  <c r="AR45" i="7"/>
  <c r="DC51" i="7" s="1"/>
  <c r="AR44" i="7"/>
  <c r="AR42" i="7"/>
  <c r="AR41" i="7"/>
  <c r="AR40" i="7"/>
  <c r="AR39" i="7"/>
  <c r="AR38" i="7"/>
  <c r="AR37" i="7"/>
  <c r="AR36" i="7"/>
  <c r="AR35" i="7"/>
  <c r="AR33" i="7"/>
  <c r="AR32" i="7"/>
  <c r="AR31" i="7"/>
  <c r="AR30" i="7"/>
  <c r="AR29" i="7"/>
  <c r="AR28" i="7"/>
  <c r="AR27" i="7"/>
  <c r="AR26" i="7"/>
  <c r="AR24" i="7"/>
  <c r="AR23" i="7"/>
  <c r="AR22" i="7"/>
  <c r="AR21" i="7"/>
  <c r="AR20" i="7"/>
  <c r="DC23" i="7" s="1"/>
  <c r="AR19" i="7"/>
  <c r="AR17" i="7"/>
  <c r="AR16" i="7"/>
  <c r="AR15" i="7"/>
  <c r="AR14" i="7"/>
  <c r="AR13" i="7"/>
  <c r="AR12" i="7"/>
  <c r="AR11" i="7"/>
  <c r="AR10" i="7"/>
  <c r="AR8" i="7"/>
  <c r="AR7" i="7"/>
  <c r="AR6" i="7"/>
  <c r="AR5" i="7"/>
  <c r="AR4" i="7"/>
  <c r="DC6" i="7" s="1"/>
  <c r="AR3" i="7"/>
  <c r="AP4" i="7"/>
  <c r="AP5" i="7"/>
  <c r="AP6" i="7"/>
  <c r="AP7" i="7"/>
  <c r="AP8" i="7"/>
  <c r="AP10" i="7"/>
  <c r="AP11" i="7"/>
  <c r="DB14" i="7" s="1"/>
  <c r="AP12" i="7"/>
  <c r="AP13" i="7"/>
  <c r="AP14" i="7"/>
  <c r="AP15" i="7"/>
  <c r="AP16" i="7"/>
  <c r="AP17" i="7"/>
  <c r="AP19" i="7"/>
  <c r="AP20" i="7"/>
  <c r="AP21" i="7"/>
  <c r="AP22" i="7"/>
  <c r="AP23" i="7"/>
  <c r="AP24" i="7"/>
  <c r="AP26" i="7"/>
  <c r="AP27" i="7"/>
  <c r="AP28" i="7"/>
  <c r="AP29" i="7"/>
  <c r="AP30" i="7"/>
  <c r="AP31" i="7"/>
  <c r="AP32" i="7"/>
  <c r="AP33" i="7"/>
  <c r="AP35" i="7"/>
  <c r="AP36" i="7"/>
  <c r="AP37" i="7"/>
  <c r="AP38" i="7"/>
  <c r="AP39" i="7"/>
  <c r="AP40" i="7"/>
  <c r="AP41" i="7"/>
  <c r="AP42" i="7"/>
  <c r="AP44" i="7"/>
  <c r="AP45" i="7"/>
  <c r="AP46" i="7"/>
  <c r="AP47" i="7"/>
  <c r="AP48" i="7"/>
  <c r="AP49" i="7"/>
  <c r="AP50" i="7"/>
  <c r="AP51" i="7"/>
  <c r="AP52" i="7"/>
  <c r="AP54" i="7"/>
  <c r="AP55" i="7"/>
  <c r="AP56" i="7"/>
  <c r="AP57" i="7"/>
  <c r="AP58" i="7"/>
  <c r="AP59" i="7"/>
  <c r="AP60" i="7"/>
  <c r="AP61" i="7"/>
  <c r="AP62" i="7"/>
  <c r="AP64" i="7"/>
  <c r="AP65" i="7"/>
  <c r="AP66" i="7"/>
  <c r="AP67" i="7"/>
  <c r="AP68" i="7"/>
  <c r="AP69" i="7"/>
  <c r="AP70" i="7"/>
  <c r="AP71" i="7"/>
  <c r="AP72" i="7"/>
  <c r="AP73" i="7"/>
  <c r="AP75" i="7"/>
  <c r="AP76" i="7"/>
  <c r="AP77" i="7"/>
  <c r="AP78" i="7"/>
  <c r="AP79" i="7"/>
  <c r="AP80" i="7"/>
  <c r="AP81" i="7"/>
  <c r="AP82" i="7"/>
  <c r="AP83" i="7"/>
  <c r="AP85" i="7"/>
  <c r="AP86" i="7"/>
  <c r="AP87" i="7"/>
  <c r="AP88" i="7"/>
  <c r="AP89" i="7"/>
  <c r="AP90" i="7"/>
  <c r="AP3" i="7"/>
  <c r="DB3" i="7" s="1"/>
  <c r="AN4" i="7"/>
  <c r="AN5" i="7"/>
  <c r="AN6" i="7"/>
  <c r="AN7" i="7"/>
  <c r="AN8" i="7"/>
  <c r="AN10" i="7"/>
  <c r="AN11" i="7"/>
  <c r="AN12" i="7"/>
  <c r="AN13" i="7"/>
  <c r="AN14" i="7"/>
  <c r="AN15" i="7"/>
  <c r="AN16" i="7"/>
  <c r="AN17" i="7"/>
  <c r="AN19" i="7"/>
  <c r="AN20" i="7"/>
  <c r="DA23" i="7" s="1"/>
  <c r="AN21" i="7"/>
  <c r="AN22" i="7"/>
  <c r="AN23" i="7"/>
  <c r="AN24" i="7"/>
  <c r="AN26" i="7"/>
  <c r="AN27" i="7"/>
  <c r="AN28" i="7"/>
  <c r="AN29" i="7"/>
  <c r="AN30" i="7"/>
  <c r="AN31" i="7"/>
  <c r="AN32" i="7"/>
  <c r="DA31" i="7" s="1"/>
  <c r="AN33" i="7"/>
  <c r="AN35" i="7"/>
  <c r="AN36" i="7"/>
  <c r="AN37" i="7"/>
  <c r="AN38" i="7"/>
  <c r="AN39" i="7"/>
  <c r="AN40" i="7"/>
  <c r="AN41" i="7"/>
  <c r="AN42" i="7"/>
  <c r="AN44" i="7"/>
  <c r="AN45" i="7"/>
  <c r="AN46" i="7"/>
  <c r="AN47" i="7"/>
  <c r="AN48" i="7"/>
  <c r="AN49" i="7"/>
  <c r="AN50" i="7"/>
  <c r="AN51" i="7"/>
  <c r="AN52" i="7"/>
  <c r="AN54" i="7"/>
  <c r="AN55" i="7"/>
  <c r="AN56" i="7"/>
  <c r="AN57" i="7"/>
  <c r="AN58" i="7"/>
  <c r="AN59" i="7"/>
  <c r="AN60" i="7"/>
  <c r="AN61" i="7"/>
  <c r="AN62" i="7"/>
  <c r="AN64" i="7"/>
  <c r="AN65" i="7"/>
  <c r="AN66" i="7"/>
  <c r="AN67" i="7"/>
  <c r="AN68" i="7"/>
  <c r="AN69" i="7"/>
  <c r="AN70" i="7"/>
  <c r="AN71" i="7"/>
  <c r="AN72" i="7"/>
  <c r="AN73" i="7"/>
  <c r="AN75" i="7"/>
  <c r="DA77" i="7" s="1"/>
  <c r="AN76" i="7"/>
  <c r="AN77" i="7"/>
  <c r="AN78" i="7"/>
  <c r="AN79" i="7"/>
  <c r="AN80" i="7"/>
  <c r="AN81" i="7"/>
  <c r="AN82" i="7"/>
  <c r="AN83" i="7"/>
  <c r="AN85" i="7"/>
  <c r="AN86" i="7"/>
  <c r="AN87" i="7"/>
  <c r="AN88" i="7"/>
  <c r="AN89" i="7"/>
  <c r="AN90" i="7"/>
  <c r="AN3" i="7"/>
  <c r="R12" i="7"/>
  <c r="BC6" i="6"/>
  <c r="I19" i="10"/>
  <c r="J18" i="10" s="1"/>
  <c r="H61" i="10"/>
  <c r="B27" i="10"/>
  <c r="B28" i="10"/>
  <c r="B29" i="10"/>
  <c r="B30" i="10"/>
  <c r="B31" i="10"/>
  <c r="B32" i="10"/>
  <c r="B33" i="10"/>
  <c r="B34" i="10"/>
  <c r="B39" i="10"/>
  <c r="B53" i="10" s="1"/>
  <c r="B67" i="10" s="1"/>
  <c r="B81" i="10" s="1"/>
  <c r="B95" i="10" s="1"/>
  <c r="B109" i="10" s="1"/>
  <c r="B123" i="10" s="1"/>
  <c r="B137" i="10" s="1"/>
  <c r="B151" i="10" s="1"/>
  <c r="K174" i="10"/>
  <c r="J174" i="10"/>
  <c r="K173" i="10"/>
  <c r="J173" i="10"/>
  <c r="K172" i="10"/>
  <c r="J172" i="10"/>
  <c r="K171" i="10"/>
  <c r="J171" i="10"/>
  <c r="K170" i="10"/>
  <c r="J170" i="10"/>
  <c r="K169" i="10"/>
  <c r="J169" i="10"/>
  <c r="K168" i="10"/>
  <c r="J168" i="10"/>
  <c r="K167" i="10"/>
  <c r="J167" i="10"/>
  <c r="K166" i="10"/>
  <c r="J166" i="10"/>
  <c r="K165" i="10"/>
  <c r="J165" i="10"/>
  <c r="K164" i="10"/>
  <c r="J164" i="10"/>
  <c r="K163" i="10"/>
  <c r="J163" i="10"/>
  <c r="K162" i="10"/>
  <c r="K161" i="10"/>
  <c r="J161" i="10"/>
  <c r="K160" i="10"/>
  <c r="J160" i="10"/>
  <c r="K159" i="10"/>
  <c r="J159" i="10"/>
  <c r="L159" i="10" s="1"/>
  <c r="E159" i="10" s="1"/>
  <c r="K158" i="10"/>
  <c r="J158" i="10"/>
  <c r="K157" i="10"/>
  <c r="J157" i="10"/>
  <c r="K156" i="10"/>
  <c r="J156" i="10"/>
  <c r="K155" i="10"/>
  <c r="J155" i="10"/>
  <c r="K154" i="10"/>
  <c r="J154" i="10"/>
  <c r="K153" i="10"/>
  <c r="J153" i="10"/>
  <c r="K152" i="10"/>
  <c r="J152" i="10"/>
  <c r="K151" i="10"/>
  <c r="J151" i="10"/>
  <c r="K150" i="10"/>
  <c r="J150" i="10"/>
  <c r="K149" i="10"/>
  <c r="J149" i="10"/>
  <c r="K148" i="10"/>
  <c r="J148" i="10"/>
  <c r="K147" i="10"/>
  <c r="J147" i="10"/>
  <c r="K146" i="10"/>
  <c r="J146" i="10"/>
  <c r="K145" i="10"/>
  <c r="J145" i="10"/>
  <c r="K144" i="10"/>
  <c r="J144" i="10"/>
  <c r="K143" i="10"/>
  <c r="J143" i="10"/>
  <c r="K142" i="10"/>
  <c r="J142" i="10"/>
  <c r="K141" i="10"/>
  <c r="J141" i="10"/>
  <c r="K140" i="10"/>
  <c r="J140" i="10"/>
  <c r="K139" i="10"/>
  <c r="J139" i="10"/>
  <c r="K138" i="10"/>
  <c r="J138" i="10"/>
  <c r="K137" i="10"/>
  <c r="J137" i="10"/>
  <c r="K136" i="10"/>
  <c r="J136" i="10"/>
  <c r="K135" i="10"/>
  <c r="J135" i="10"/>
  <c r="K134" i="10"/>
  <c r="J134" i="10"/>
  <c r="K133" i="10"/>
  <c r="J133" i="10"/>
  <c r="K132" i="10"/>
  <c r="J132" i="10"/>
  <c r="K131" i="10"/>
  <c r="J131" i="10"/>
  <c r="K130" i="10"/>
  <c r="J130" i="10"/>
  <c r="K129" i="10"/>
  <c r="J129" i="10"/>
  <c r="K128" i="10"/>
  <c r="J128" i="10"/>
  <c r="K127" i="10"/>
  <c r="J127" i="10"/>
  <c r="K126" i="10"/>
  <c r="J126" i="10"/>
  <c r="K125" i="10"/>
  <c r="J125" i="10"/>
  <c r="K124" i="10"/>
  <c r="J124" i="10"/>
  <c r="K123" i="10"/>
  <c r="J123" i="10"/>
  <c r="K122" i="10"/>
  <c r="J122" i="10"/>
  <c r="K121" i="10"/>
  <c r="J121" i="10"/>
  <c r="K120" i="10"/>
  <c r="J120" i="10"/>
  <c r="K119" i="10"/>
  <c r="J119" i="10"/>
  <c r="K118" i="10"/>
  <c r="J118" i="10"/>
  <c r="K117" i="10"/>
  <c r="J117" i="10"/>
  <c r="K116" i="10"/>
  <c r="J116" i="10"/>
  <c r="K115" i="10"/>
  <c r="J115" i="10"/>
  <c r="K114" i="10"/>
  <c r="J114" i="10"/>
  <c r="K113" i="10"/>
  <c r="J113" i="10"/>
  <c r="K112" i="10"/>
  <c r="J112" i="10"/>
  <c r="K111" i="10"/>
  <c r="J111" i="10"/>
  <c r="K110" i="10"/>
  <c r="J110" i="10"/>
  <c r="K109" i="10"/>
  <c r="J109" i="10"/>
  <c r="K108" i="10"/>
  <c r="J108" i="10"/>
  <c r="K107" i="10"/>
  <c r="J107" i="10"/>
  <c r="K106" i="10"/>
  <c r="J106" i="10"/>
  <c r="K105" i="10"/>
  <c r="J105" i="10"/>
  <c r="K104" i="10"/>
  <c r="J104" i="10"/>
  <c r="K103" i="10"/>
  <c r="J103" i="10"/>
  <c r="K102" i="10"/>
  <c r="J102" i="10"/>
  <c r="K101" i="10"/>
  <c r="J101" i="10"/>
  <c r="K100" i="10"/>
  <c r="J100" i="10"/>
  <c r="K99" i="10"/>
  <c r="J99" i="10"/>
  <c r="K98" i="10"/>
  <c r="J98" i="10"/>
  <c r="K97" i="10"/>
  <c r="J97" i="10"/>
  <c r="K96" i="10"/>
  <c r="J96" i="10"/>
  <c r="K95" i="10"/>
  <c r="J95" i="10"/>
  <c r="K94" i="10"/>
  <c r="J94" i="10"/>
  <c r="K93" i="10"/>
  <c r="J93" i="10"/>
  <c r="K92" i="10"/>
  <c r="J92" i="10"/>
  <c r="K91" i="10"/>
  <c r="J91" i="10"/>
  <c r="K90" i="10"/>
  <c r="J90" i="10"/>
  <c r="K89" i="10"/>
  <c r="J89" i="10"/>
  <c r="K88" i="10"/>
  <c r="J88" i="10"/>
  <c r="K87" i="10"/>
  <c r="J87" i="10"/>
  <c r="K86" i="10"/>
  <c r="J86" i="10"/>
  <c r="K85" i="10"/>
  <c r="J85" i="10"/>
  <c r="K84" i="10"/>
  <c r="J84" i="10"/>
  <c r="K83" i="10"/>
  <c r="J83" i="10"/>
  <c r="K82" i="10"/>
  <c r="J82" i="10"/>
  <c r="K81" i="10"/>
  <c r="J81" i="10"/>
  <c r="K80" i="10"/>
  <c r="J80" i="10"/>
  <c r="K78" i="10"/>
  <c r="J78" i="10"/>
  <c r="K77" i="10"/>
  <c r="J77" i="10"/>
  <c r="K76" i="10"/>
  <c r="J76" i="10"/>
  <c r="K75" i="10"/>
  <c r="J75" i="10"/>
  <c r="K74" i="10"/>
  <c r="J74" i="10"/>
  <c r="K73" i="10"/>
  <c r="J73" i="10"/>
  <c r="K72" i="10"/>
  <c r="J72" i="10"/>
  <c r="K71" i="10"/>
  <c r="J71" i="10"/>
  <c r="K70" i="10"/>
  <c r="J70" i="10"/>
  <c r="K69" i="10"/>
  <c r="J69" i="10"/>
  <c r="K68" i="10"/>
  <c r="J68" i="10"/>
  <c r="K67" i="10"/>
  <c r="J67" i="10"/>
  <c r="K66" i="10"/>
  <c r="J66" i="10"/>
  <c r="K65" i="10"/>
  <c r="J65" i="10"/>
  <c r="K64" i="10"/>
  <c r="J64" i="10"/>
  <c r="K63" i="10"/>
  <c r="J63" i="10"/>
  <c r="K62" i="10"/>
  <c r="J62" i="10"/>
  <c r="K61" i="10"/>
  <c r="J61" i="10"/>
  <c r="K60" i="10"/>
  <c r="J60" i="10"/>
  <c r="K59" i="10"/>
  <c r="J59" i="10"/>
  <c r="K58" i="10"/>
  <c r="J58" i="10"/>
  <c r="K57" i="10"/>
  <c r="J57" i="10"/>
  <c r="K56" i="10"/>
  <c r="J56" i="10"/>
  <c r="K55" i="10"/>
  <c r="J55" i="10"/>
  <c r="K54" i="10"/>
  <c r="J54" i="10"/>
  <c r="K53" i="10"/>
  <c r="J53" i="10"/>
  <c r="K52" i="10"/>
  <c r="J52" i="10"/>
  <c r="K51" i="10"/>
  <c r="J51" i="10"/>
  <c r="K50" i="10"/>
  <c r="J50" i="10"/>
  <c r="K49" i="10"/>
  <c r="J49" i="10"/>
  <c r="K48" i="10"/>
  <c r="J48" i="10"/>
  <c r="K47" i="10"/>
  <c r="J47" i="10"/>
  <c r="K46" i="10"/>
  <c r="J46" i="10"/>
  <c r="K45" i="10"/>
  <c r="J45" i="10"/>
  <c r="K44" i="10"/>
  <c r="J44" i="10"/>
  <c r="K43" i="10"/>
  <c r="J43" i="10"/>
  <c r="K42" i="10"/>
  <c r="J42" i="10"/>
  <c r="K41" i="10"/>
  <c r="J41" i="10"/>
  <c r="K40" i="10"/>
  <c r="J40" i="10"/>
  <c r="K39" i="10"/>
  <c r="J39" i="10"/>
  <c r="K38" i="10"/>
  <c r="J38" i="10"/>
  <c r="K37" i="10"/>
  <c r="J37" i="10"/>
  <c r="K36" i="10"/>
  <c r="J36" i="10"/>
  <c r="K34" i="10"/>
  <c r="J34" i="10"/>
  <c r="K33" i="10"/>
  <c r="J33" i="10"/>
  <c r="K32" i="10"/>
  <c r="J32" i="10"/>
  <c r="K31" i="10"/>
  <c r="J31" i="10"/>
  <c r="K30" i="10"/>
  <c r="J30" i="10"/>
  <c r="K29" i="10"/>
  <c r="J29" i="10"/>
  <c r="K28" i="10"/>
  <c r="J28" i="10"/>
  <c r="K27" i="10"/>
  <c r="J27" i="10"/>
  <c r="K26" i="10"/>
  <c r="J26" i="10"/>
  <c r="K25" i="10"/>
  <c r="J25" i="10"/>
  <c r="Q19" i="10"/>
  <c r="P19" i="10"/>
  <c r="O19" i="10"/>
  <c r="N19" i="10"/>
  <c r="M19" i="10"/>
  <c r="Q18" i="10"/>
  <c r="P18" i="10"/>
  <c r="O18" i="10"/>
  <c r="N18" i="10"/>
  <c r="M18" i="10"/>
  <c r="Q17" i="10"/>
  <c r="P17" i="10"/>
  <c r="O17" i="10"/>
  <c r="N17" i="10"/>
  <c r="M17" i="10"/>
  <c r="Q16" i="10"/>
  <c r="P16" i="10"/>
  <c r="O16" i="10"/>
  <c r="N16" i="10"/>
  <c r="M16" i="10"/>
  <c r="Q15" i="10"/>
  <c r="P15" i="10"/>
  <c r="O15" i="10"/>
  <c r="N15" i="10"/>
  <c r="M15" i="10"/>
  <c r="F22" i="10" l="1"/>
  <c r="F36" i="10" s="1"/>
  <c r="F50" i="10" s="1"/>
  <c r="F64" i="10" s="1"/>
  <c r="F78" i="10" s="1"/>
  <c r="F92" i="10" s="1"/>
  <c r="F106" i="10" s="1"/>
  <c r="F120" i="10" s="1"/>
  <c r="F134" i="10" s="1"/>
  <c r="F148" i="10" s="1"/>
  <c r="F162" i="10" s="1"/>
  <c r="DD23" i="7"/>
  <c r="DH3" i="7"/>
  <c r="DH69" i="7"/>
  <c r="DH11" i="7"/>
  <c r="DJ30" i="7"/>
  <c r="DP4" i="7"/>
  <c r="DI58" i="7"/>
  <c r="DL14" i="7"/>
  <c r="DB7" i="7"/>
  <c r="DC39" i="7"/>
  <c r="DF15" i="7"/>
  <c r="DH6" i="7"/>
  <c r="DP14" i="7"/>
  <c r="DB27" i="7"/>
  <c r="DE69" i="7"/>
  <c r="DG13" i="7"/>
  <c r="DH23" i="7"/>
  <c r="DJ37" i="7"/>
  <c r="DA30" i="7"/>
  <c r="DD16" i="7"/>
  <c r="DH58" i="7"/>
  <c r="DI37" i="7"/>
  <c r="DK11" i="7"/>
  <c r="DM27" i="7"/>
  <c r="DO46" i="7"/>
  <c r="DI30" i="7"/>
  <c r="DC12" i="7"/>
  <c r="DC66" i="7"/>
  <c r="DD4" i="7"/>
  <c r="DD15" i="7"/>
  <c r="DF55" i="7"/>
  <c r="DM60" i="7"/>
  <c r="DP6" i="7"/>
  <c r="DP13" i="7"/>
  <c r="DG32" i="7"/>
  <c r="DB28" i="7"/>
  <c r="DC13" i="7"/>
  <c r="DC65" i="7"/>
  <c r="DL7" i="7"/>
  <c r="DO32" i="7"/>
  <c r="DO16" i="7"/>
  <c r="DP36" i="7"/>
  <c r="DA38" i="7"/>
  <c r="DD20" i="7"/>
  <c r="DE55" i="7"/>
  <c r="DF48" i="7"/>
  <c r="DG5" i="7"/>
  <c r="DH68" i="7"/>
  <c r="DH12" i="7"/>
  <c r="DI49" i="7"/>
  <c r="DJ59" i="7"/>
  <c r="DK22" i="7"/>
  <c r="DL60" i="7"/>
  <c r="DM6" i="7"/>
  <c r="DM65" i="7"/>
  <c r="DO65" i="7"/>
  <c r="L104" i="10"/>
  <c r="E104" i="10" s="1"/>
  <c r="L132" i="10"/>
  <c r="E132" i="10" s="1"/>
  <c r="L144" i="10"/>
  <c r="E144" i="10" s="1"/>
  <c r="DA45" i="7"/>
  <c r="DA37" i="7"/>
  <c r="DB77" i="7"/>
  <c r="DC5" i="7"/>
  <c r="DE46" i="7"/>
  <c r="DE37" i="7"/>
  <c r="DE30" i="7"/>
  <c r="DF13" i="7"/>
  <c r="DF22" i="7"/>
  <c r="DG7" i="7"/>
  <c r="DG65" i="7"/>
  <c r="DG23" i="7"/>
  <c r="DG12" i="7"/>
  <c r="DH57" i="7"/>
  <c r="DI51" i="7"/>
  <c r="DI36" i="7"/>
  <c r="DI28" i="7"/>
  <c r="DJ77" i="7"/>
  <c r="DJ83" i="7" s="1"/>
  <c r="DK4" i="7"/>
  <c r="DK66" i="7"/>
  <c r="DK23" i="7"/>
  <c r="DK15" i="7"/>
  <c r="DM37" i="7"/>
  <c r="DM30" i="7"/>
  <c r="DO7" i="7"/>
  <c r="DO66" i="7"/>
  <c r="DO22" i="7"/>
  <c r="DO15" i="7"/>
  <c r="DP58" i="7"/>
  <c r="DP3" i="7"/>
  <c r="DO12" i="7"/>
  <c r="DI29" i="7"/>
  <c r="H101" i="10"/>
  <c r="H143" i="10"/>
  <c r="DB6" i="7"/>
  <c r="DB5" i="7"/>
  <c r="DB8" i="7" s="1"/>
  <c r="DB4" i="7"/>
  <c r="DB72" i="7"/>
  <c r="DB67" i="7"/>
  <c r="DB71" i="7"/>
  <c r="DB66" i="7"/>
  <c r="DB69" i="7"/>
  <c r="DB68" i="7"/>
  <c r="DB65" i="7"/>
  <c r="DB23" i="7"/>
  <c r="DB22" i="7"/>
  <c r="DB21" i="7"/>
  <c r="DB13" i="7"/>
  <c r="DB12" i="7"/>
  <c r="DB16" i="7"/>
  <c r="DB11" i="7"/>
  <c r="DC30" i="7"/>
  <c r="DC29" i="7"/>
  <c r="DC28" i="7"/>
  <c r="DC32" i="7"/>
  <c r="DC27" i="7"/>
  <c r="DC40" i="7"/>
  <c r="DC36" i="7"/>
  <c r="DC37" i="7"/>
  <c r="DC38" i="7"/>
  <c r="DC50" i="7"/>
  <c r="DC49" i="7"/>
  <c r="DC47" i="7"/>
  <c r="DC46" i="7"/>
  <c r="DD47" i="7"/>
  <c r="DD51" i="7"/>
  <c r="DD46" i="7"/>
  <c r="DD50" i="7"/>
  <c r="DD49" i="7"/>
  <c r="DD45" i="7"/>
  <c r="DD40" i="7"/>
  <c r="DD37" i="7"/>
  <c r="DD38" i="7"/>
  <c r="DD36" i="7"/>
  <c r="DD39" i="7"/>
  <c r="DD30" i="7"/>
  <c r="DD29" i="7"/>
  <c r="DD31" i="7"/>
  <c r="DD27" i="7"/>
  <c r="DD32" i="7"/>
  <c r="DE77" i="7"/>
  <c r="DF7" i="7"/>
  <c r="DF6" i="7"/>
  <c r="DF3" i="7"/>
  <c r="DG60" i="7"/>
  <c r="DG58" i="7"/>
  <c r="DG59" i="7"/>
  <c r="DG61" i="7"/>
  <c r="DH50" i="7"/>
  <c r="DH45" i="7"/>
  <c r="DH49" i="7"/>
  <c r="DH51" i="7"/>
  <c r="DH47" i="7"/>
  <c r="DH46" i="7"/>
  <c r="DH40" i="7"/>
  <c r="DH37" i="7"/>
  <c r="DH38" i="7"/>
  <c r="DH39" i="7"/>
  <c r="DH30" i="7"/>
  <c r="DH29" i="7"/>
  <c r="DH31" i="7"/>
  <c r="DH32" i="7"/>
  <c r="DI77" i="7"/>
  <c r="DJ72" i="7"/>
  <c r="DJ67" i="7"/>
  <c r="DJ71" i="7"/>
  <c r="DJ65" i="7"/>
  <c r="DJ69" i="7"/>
  <c r="DJ68" i="7"/>
  <c r="DJ23" i="7"/>
  <c r="DJ22" i="7"/>
  <c r="DJ20" i="7"/>
  <c r="DJ15" i="7"/>
  <c r="DJ14" i="7"/>
  <c r="DJ12" i="7"/>
  <c r="DK60" i="7"/>
  <c r="DK58" i="7"/>
  <c r="DK61" i="7"/>
  <c r="DK57" i="7"/>
  <c r="DK56" i="7"/>
  <c r="DK55" i="7"/>
  <c r="DK59" i="7"/>
  <c r="DL46" i="7"/>
  <c r="DL51" i="7"/>
  <c r="DL45" i="7"/>
  <c r="DL49" i="7"/>
  <c r="DL40" i="7"/>
  <c r="DL37" i="7"/>
  <c r="DL38" i="7"/>
  <c r="DL36" i="7"/>
  <c r="DL30" i="7"/>
  <c r="DL29" i="7"/>
  <c r="DL27" i="7"/>
  <c r="DL31" i="7"/>
  <c r="DL32" i="7"/>
  <c r="DL28" i="7"/>
  <c r="DM77" i="7"/>
  <c r="DM83" i="7" s="1"/>
  <c r="DN4" i="7"/>
  <c r="DN7" i="7"/>
  <c r="DN3" i="7"/>
  <c r="DN6" i="7"/>
  <c r="DN72" i="7"/>
  <c r="DN68" i="7"/>
  <c r="DN71" i="7"/>
  <c r="DN73" i="7" s="1"/>
  <c r="DN67" i="7"/>
  <c r="DN70" i="7"/>
  <c r="DN69" i="7"/>
  <c r="DN66" i="7"/>
  <c r="DN65" i="7"/>
  <c r="DN23" i="7"/>
  <c r="DN22" i="7"/>
  <c r="DN13" i="7"/>
  <c r="DN16" i="7"/>
  <c r="DN12" i="7"/>
  <c r="DN15" i="7"/>
  <c r="DN11" i="7"/>
  <c r="DO60" i="7"/>
  <c r="DO58" i="7"/>
  <c r="DO59" i="7"/>
  <c r="DO57" i="7"/>
  <c r="DO56" i="7"/>
  <c r="DO55" i="7"/>
  <c r="DP50" i="7"/>
  <c r="DP46" i="7"/>
  <c r="DP49" i="7"/>
  <c r="DP45" i="7"/>
  <c r="DP51" i="7"/>
  <c r="DP48" i="7"/>
  <c r="DP47" i="7"/>
  <c r="DP40" i="7"/>
  <c r="DP37" i="7"/>
  <c r="DP38" i="7"/>
  <c r="DP39" i="7"/>
  <c r="DP30" i="7"/>
  <c r="DP29" i="7"/>
  <c r="DP27" i="7"/>
  <c r="DP31" i="7"/>
  <c r="DP32" i="7"/>
  <c r="DP7" i="7"/>
  <c r="DD12" i="7"/>
  <c r="DD17" i="7" s="1"/>
  <c r="DL39" i="7"/>
  <c r="H160" i="10"/>
  <c r="H146" i="10"/>
  <c r="H86" i="10"/>
  <c r="H142" i="10"/>
  <c r="DA7" i="7"/>
  <c r="DA6" i="7"/>
  <c r="DA4" i="7"/>
  <c r="DA71" i="7"/>
  <c r="DA67" i="7"/>
  <c r="DA70" i="7"/>
  <c r="DA65" i="7"/>
  <c r="DA69" i="7"/>
  <c r="DA68" i="7"/>
  <c r="DA72" i="7"/>
  <c r="DA21" i="7"/>
  <c r="DA13" i="7"/>
  <c r="DA12" i="7"/>
  <c r="DA11" i="7"/>
  <c r="DB57" i="7"/>
  <c r="DB56" i="7"/>
  <c r="DB61" i="7"/>
  <c r="DB55" i="7"/>
  <c r="DB60" i="7"/>
  <c r="DC58" i="7"/>
  <c r="DC55" i="7"/>
  <c r="DC57" i="7"/>
  <c r="DC56" i="7"/>
  <c r="DC60" i="7"/>
  <c r="DC59" i="7"/>
  <c r="DD77" i="7"/>
  <c r="DE3" i="7"/>
  <c r="DE72" i="7"/>
  <c r="DE66" i="7"/>
  <c r="DE71" i="7"/>
  <c r="DE65" i="7"/>
  <c r="DE70" i="7"/>
  <c r="DE20" i="7"/>
  <c r="DE23" i="7"/>
  <c r="DE13" i="7"/>
  <c r="DE12" i="7"/>
  <c r="DE11" i="7"/>
  <c r="DF32" i="7"/>
  <c r="DF28" i="7"/>
  <c r="DF30" i="7"/>
  <c r="DF29" i="7"/>
  <c r="DF27" i="7"/>
  <c r="DF36" i="7"/>
  <c r="DF37" i="7"/>
  <c r="DF38" i="7"/>
  <c r="DF47" i="7"/>
  <c r="DF51" i="7"/>
  <c r="DF46" i="7"/>
  <c r="DF45" i="7"/>
  <c r="DF49" i="7"/>
  <c r="DG45" i="7"/>
  <c r="DG49" i="7"/>
  <c r="DG47" i="7"/>
  <c r="DG46" i="7"/>
  <c r="DG39" i="7"/>
  <c r="DG36" i="7"/>
  <c r="DG37" i="7"/>
  <c r="DG38" i="7"/>
  <c r="DG40" i="7"/>
  <c r="DG28" i="7"/>
  <c r="DG30" i="7"/>
  <c r="DG29" i="7"/>
  <c r="DG27" i="7"/>
  <c r="DH77" i="7"/>
  <c r="DI6" i="7"/>
  <c r="DI3" i="7"/>
  <c r="DI69" i="7"/>
  <c r="DI68" i="7"/>
  <c r="DI67" i="7"/>
  <c r="DI65" i="7"/>
  <c r="DI72" i="7"/>
  <c r="DI71" i="7"/>
  <c r="DI23" i="7"/>
  <c r="DI22" i="7"/>
  <c r="DI20" i="7"/>
  <c r="DI15" i="7"/>
  <c r="DI14" i="7"/>
  <c r="DI13" i="7"/>
  <c r="DJ61" i="7"/>
  <c r="DJ57" i="7"/>
  <c r="DJ56" i="7"/>
  <c r="DJ55" i="7"/>
  <c r="DJ60" i="7"/>
  <c r="DJ58" i="7"/>
  <c r="DK48" i="7"/>
  <c r="DK47" i="7"/>
  <c r="DK51" i="7"/>
  <c r="DK49" i="7"/>
  <c r="DK46" i="7"/>
  <c r="DK45" i="7"/>
  <c r="DK40" i="7"/>
  <c r="DK39" i="7"/>
  <c r="DK36" i="7"/>
  <c r="DK37" i="7"/>
  <c r="DK38" i="7"/>
  <c r="DK28" i="7"/>
  <c r="DK30" i="7"/>
  <c r="DK29" i="7"/>
  <c r="DK27" i="7"/>
  <c r="DK31" i="7"/>
  <c r="DK32" i="7"/>
  <c r="DL77" i="7"/>
  <c r="DL83" i="7" s="1"/>
  <c r="DM5" i="7"/>
  <c r="DM8" i="7" s="1"/>
  <c r="DM4" i="7"/>
  <c r="DM7" i="7"/>
  <c r="DM3" i="7"/>
  <c r="DM72" i="7"/>
  <c r="DM68" i="7"/>
  <c r="DM71" i="7"/>
  <c r="DM67" i="7"/>
  <c r="DM70" i="7"/>
  <c r="DM69" i="7"/>
  <c r="DM66" i="7"/>
  <c r="DM23" i="7"/>
  <c r="DM22" i="7"/>
  <c r="DM20" i="7"/>
  <c r="DM12" i="7"/>
  <c r="DN61" i="7"/>
  <c r="DN57" i="7"/>
  <c r="DN56" i="7"/>
  <c r="DN55" i="7"/>
  <c r="DN60" i="7"/>
  <c r="DN58" i="7"/>
  <c r="DN59" i="7"/>
  <c r="DN27" i="7"/>
  <c r="DO49" i="7"/>
  <c r="DO45" i="7"/>
  <c r="DO48" i="7"/>
  <c r="DO51" i="7"/>
  <c r="DO50" i="7"/>
  <c r="DO47" i="7"/>
  <c r="DO13" i="7"/>
  <c r="DO5" i="7"/>
  <c r="DP61" i="7"/>
  <c r="DP15" i="7"/>
  <c r="DA3" i="7"/>
  <c r="DI7" i="7"/>
  <c r="DN5" i="7"/>
  <c r="DA16" i="7"/>
  <c r="DM14" i="7"/>
  <c r="DE22" i="7"/>
  <c r="DH28" i="7"/>
  <c r="DF40" i="7"/>
  <c r="DG56" i="7"/>
  <c r="DO41" i="7"/>
  <c r="DO39" i="7"/>
  <c r="DO36" i="7"/>
  <c r="DO37" i="7"/>
  <c r="DO28" i="7"/>
  <c r="DO30" i="7"/>
  <c r="DO29" i="7"/>
  <c r="DO27" i="7"/>
  <c r="DP77" i="7"/>
  <c r="DP83" i="7" s="1"/>
  <c r="DC3" i="7"/>
  <c r="DC7" i="7"/>
  <c r="DD6" i="7"/>
  <c r="DG6" i="7"/>
  <c r="DH7" i="7"/>
  <c r="DK7" i="7"/>
  <c r="DC14" i="7"/>
  <c r="DD13" i="7"/>
  <c r="DF11" i="7"/>
  <c r="DF16" i="7"/>
  <c r="DG15" i="7"/>
  <c r="DK12" i="7"/>
  <c r="DL13" i="7"/>
  <c r="DP11" i="7"/>
  <c r="DC20" i="7"/>
  <c r="DD22" i="7"/>
  <c r="DG20" i="7"/>
  <c r="DB29" i="7"/>
  <c r="DJ29" i="7"/>
  <c r="DB30" i="7"/>
  <c r="DB31" i="7"/>
  <c r="DO31" i="7"/>
  <c r="DM39" i="7"/>
  <c r="DH56" i="7"/>
  <c r="H131" i="10"/>
  <c r="H145" i="10"/>
  <c r="H71" i="10"/>
  <c r="H141" i="10"/>
  <c r="DA60" i="7"/>
  <c r="DA58" i="7"/>
  <c r="DA57" i="7"/>
  <c r="DA56" i="7"/>
  <c r="DB51" i="7"/>
  <c r="DB46" i="7"/>
  <c r="DB50" i="7"/>
  <c r="DB39" i="7"/>
  <c r="DB41" i="7"/>
  <c r="DB40" i="7"/>
  <c r="DC69" i="7"/>
  <c r="DC72" i="7"/>
  <c r="DC68" i="7"/>
  <c r="DC71" i="7"/>
  <c r="DC70" i="7"/>
  <c r="DD70" i="7"/>
  <c r="DD65" i="7"/>
  <c r="DD69" i="7"/>
  <c r="DD72" i="7"/>
  <c r="DD71" i="7"/>
  <c r="DE59" i="7"/>
  <c r="DE61" i="7"/>
  <c r="DE57" i="7"/>
  <c r="DE56" i="7"/>
  <c r="DE58" i="7"/>
  <c r="DF61" i="7"/>
  <c r="DF57" i="7"/>
  <c r="DF56" i="7"/>
  <c r="DF58" i="7"/>
  <c r="DF59" i="7"/>
  <c r="DG77" i="7"/>
  <c r="DH72" i="7"/>
  <c r="DH67" i="7"/>
  <c r="DH71" i="7"/>
  <c r="DH66" i="7"/>
  <c r="DH65" i="7"/>
  <c r="DH22" i="7"/>
  <c r="DH20" i="7"/>
  <c r="DI59" i="7"/>
  <c r="DI61" i="7"/>
  <c r="DI57" i="7"/>
  <c r="DI56" i="7"/>
  <c r="DI62" i="7" s="1"/>
  <c r="DI55" i="7"/>
  <c r="DI60" i="7"/>
  <c r="DJ50" i="7"/>
  <c r="DJ46" i="7"/>
  <c r="DJ49" i="7"/>
  <c r="DJ45" i="7"/>
  <c r="DJ48" i="7"/>
  <c r="DJ47" i="7"/>
  <c r="DJ40" i="7"/>
  <c r="DJ39" i="7"/>
  <c r="DJ36" i="7"/>
  <c r="DJ32" i="7"/>
  <c r="DJ28" i="7"/>
  <c r="DK77" i="7"/>
  <c r="DK83" i="7" s="1"/>
  <c r="DL72" i="7"/>
  <c r="DL68" i="7"/>
  <c r="DL71" i="7"/>
  <c r="DL67" i="7"/>
  <c r="DL70" i="7"/>
  <c r="DL69" i="7"/>
  <c r="DL22" i="7"/>
  <c r="DL21" i="7"/>
  <c r="DM59" i="7"/>
  <c r="DM62" i="7" s="1"/>
  <c r="DM61" i="7"/>
  <c r="DM57" i="7"/>
  <c r="DM56" i="7"/>
  <c r="DM55" i="7"/>
  <c r="DM58" i="7"/>
  <c r="DN48" i="7"/>
  <c r="DN51" i="7"/>
  <c r="DN47" i="7"/>
  <c r="DN50" i="7"/>
  <c r="DN49" i="7"/>
  <c r="DN41" i="7"/>
  <c r="DN39" i="7"/>
  <c r="DN36" i="7"/>
  <c r="DN32" i="7"/>
  <c r="DN28" i="7"/>
  <c r="DO77" i="7"/>
  <c r="DO83" i="7" s="1"/>
  <c r="DP72" i="7"/>
  <c r="DP68" i="7"/>
  <c r="DP71" i="7"/>
  <c r="DP67" i="7"/>
  <c r="DP70" i="7"/>
  <c r="DP69" i="7"/>
  <c r="DP23" i="7"/>
  <c r="DP22" i="7"/>
  <c r="DC4" i="7"/>
  <c r="DD3" i="7"/>
  <c r="DD7" i="7"/>
  <c r="DK3" i="7"/>
  <c r="DL3" i="7"/>
  <c r="DO6" i="7"/>
  <c r="DP5" i="7"/>
  <c r="DC11" i="7"/>
  <c r="DC16" i="7"/>
  <c r="DD14" i="7"/>
  <c r="DF12" i="7"/>
  <c r="DG11" i="7"/>
  <c r="DG16" i="7"/>
  <c r="DK14" i="7"/>
  <c r="DO14" i="7"/>
  <c r="DP12" i="7"/>
  <c r="DP17" i="7" s="1"/>
  <c r="DP16" i="7"/>
  <c r="DC22" i="7"/>
  <c r="DF20" i="7"/>
  <c r="DG22" i="7"/>
  <c r="DL23" i="7"/>
  <c r="DE29" i="7"/>
  <c r="DM29" i="7"/>
  <c r="DN38" i="7"/>
  <c r="DN40" i="7"/>
  <c r="DB48" i="7"/>
  <c r="DN45" i="7"/>
  <c r="DD66" i="7"/>
  <c r="DL65" i="7"/>
  <c r="DP65" i="7"/>
  <c r="H116" i="10"/>
  <c r="H144" i="10"/>
  <c r="DA47" i="7"/>
  <c r="DA51" i="7"/>
  <c r="DA46" i="7"/>
  <c r="DA50" i="7"/>
  <c r="DA49" i="7"/>
  <c r="DA41" i="7"/>
  <c r="DA36" i="7"/>
  <c r="DA32" i="7"/>
  <c r="DC77" i="7"/>
  <c r="DD55" i="7"/>
  <c r="DD60" i="7"/>
  <c r="DD59" i="7"/>
  <c r="DD57" i="7"/>
  <c r="DD56" i="7"/>
  <c r="DD58" i="7"/>
  <c r="DE49" i="7"/>
  <c r="DE45" i="7"/>
  <c r="DE48" i="7"/>
  <c r="DE51" i="7"/>
  <c r="DE40" i="7"/>
  <c r="DE38" i="7"/>
  <c r="DE39" i="7"/>
  <c r="DE31" i="7"/>
  <c r="DE27" i="7"/>
  <c r="DE32" i="7"/>
  <c r="DF72" i="7"/>
  <c r="DF70" i="7"/>
  <c r="DF68" i="7"/>
  <c r="DF67" i="7"/>
  <c r="DG68" i="7"/>
  <c r="DG67" i="7"/>
  <c r="DG69" i="7"/>
  <c r="DH59" i="7"/>
  <c r="DH60" i="7"/>
  <c r="DI47" i="7"/>
  <c r="DI46" i="7"/>
  <c r="DI45" i="7"/>
  <c r="DI40" i="7"/>
  <c r="DI38" i="7"/>
  <c r="DI32" i="7"/>
  <c r="DK72" i="7"/>
  <c r="DK68" i="7"/>
  <c r="DK71" i="7"/>
  <c r="DK67" i="7"/>
  <c r="DK70" i="7"/>
  <c r="DK69" i="7"/>
  <c r="DL59" i="7"/>
  <c r="DL61" i="7"/>
  <c r="DL57" i="7"/>
  <c r="DL56" i="7"/>
  <c r="DL55" i="7"/>
  <c r="DL58" i="7"/>
  <c r="DM51" i="7"/>
  <c r="DM45" i="7"/>
  <c r="DM49" i="7"/>
  <c r="DM47" i="7"/>
  <c r="DM46" i="7"/>
  <c r="DM40" i="7"/>
  <c r="DM41" i="7"/>
  <c r="DM38" i="7"/>
  <c r="DM31" i="7"/>
  <c r="DM32" i="7"/>
  <c r="DN77" i="7"/>
  <c r="DN83" i="7" s="1"/>
  <c r="DO72" i="7"/>
  <c r="DO68" i="7"/>
  <c r="DO71" i="7"/>
  <c r="DO67" i="7"/>
  <c r="DO70" i="7"/>
  <c r="DO69" i="7"/>
  <c r="DO20" i="7"/>
  <c r="DP59" i="7"/>
  <c r="DP60" i="7"/>
  <c r="DO3" i="7"/>
  <c r="DD11" i="7"/>
  <c r="DO11" i="7"/>
  <c r="DO23" i="7"/>
  <c r="DM28" i="7"/>
  <c r="DN29" i="7"/>
  <c r="DN30" i="7"/>
  <c r="DE36" i="7"/>
  <c r="DM36" i="7"/>
  <c r="DN37" i="7"/>
  <c r="DO38" i="7"/>
  <c r="DI39" i="7"/>
  <c r="DA40" i="7"/>
  <c r="DO40" i="7"/>
  <c r="DB49" i="7"/>
  <c r="DE47" i="7"/>
  <c r="DN46" i="7"/>
  <c r="DP55" i="7"/>
  <c r="DP56" i="7"/>
  <c r="DP57" i="7"/>
  <c r="DH61" i="7"/>
  <c r="DD68" i="7"/>
  <c r="DG66" i="7"/>
  <c r="DL66" i="7"/>
  <c r="DL73" i="7" s="1"/>
  <c r="DP66" i="7"/>
  <c r="DP73" i="7" s="1"/>
  <c r="L84" i="10"/>
  <c r="E84" i="10" s="1"/>
  <c r="H43" i="10"/>
  <c r="L140" i="10"/>
  <c r="E140" i="10" s="1"/>
  <c r="L128" i="10"/>
  <c r="E128" i="10" s="1"/>
  <c r="L124" i="10"/>
  <c r="E124" i="10" s="1"/>
  <c r="L96" i="10"/>
  <c r="E96" i="10" s="1"/>
  <c r="H113" i="10"/>
  <c r="L111" i="10"/>
  <c r="E111" i="10" s="1"/>
  <c r="L40" i="10"/>
  <c r="E40" i="10" s="1"/>
  <c r="L44" i="10"/>
  <c r="E44" i="10" s="1"/>
  <c r="L48" i="10"/>
  <c r="E48" i="10" s="1"/>
  <c r="H76" i="10"/>
  <c r="H103" i="10"/>
  <c r="H159" i="10"/>
  <c r="H48" i="10"/>
  <c r="H75" i="10"/>
  <c r="H100" i="10"/>
  <c r="H157" i="10"/>
  <c r="H45" i="10"/>
  <c r="H73" i="10"/>
  <c r="H98" i="10"/>
  <c r="H154" i="10"/>
  <c r="H118" i="10"/>
  <c r="H115" i="10"/>
  <c r="H90" i="10"/>
  <c r="I33" i="10"/>
  <c r="H58" i="10"/>
  <c r="H85" i="10"/>
  <c r="B46" i="10"/>
  <c r="H32" i="10"/>
  <c r="H130" i="10"/>
  <c r="L69" i="10"/>
  <c r="E69" i="10" s="1"/>
  <c r="L73" i="10"/>
  <c r="E73" i="10" s="1"/>
  <c r="B45" i="10"/>
  <c r="H31" i="10"/>
  <c r="I32" i="10"/>
  <c r="H47" i="10"/>
  <c r="H62" i="10"/>
  <c r="H84" i="10"/>
  <c r="H99" i="10"/>
  <c r="H114" i="10"/>
  <c r="H129" i="10"/>
  <c r="H158" i="10"/>
  <c r="B44" i="10"/>
  <c r="H30" i="10"/>
  <c r="H46" i="10"/>
  <c r="H128" i="10"/>
  <c r="B43" i="10"/>
  <c r="H29" i="10"/>
  <c r="H60" i="10"/>
  <c r="H127" i="10"/>
  <c r="H156" i="10"/>
  <c r="L168" i="10"/>
  <c r="E168" i="10" s="1"/>
  <c r="L172" i="10"/>
  <c r="E172" i="10" s="1"/>
  <c r="B42" i="10"/>
  <c r="H44" i="10"/>
  <c r="H59" i="10"/>
  <c r="H74" i="10"/>
  <c r="H89" i="10"/>
  <c r="H104" i="10"/>
  <c r="H155" i="10"/>
  <c r="B48" i="10"/>
  <c r="H34" i="10"/>
  <c r="H42" i="10"/>
  <c r="H57" i="10"/>
  <c r="H72" i="10"/>
  <c r="H87" i="10"/>
  <c r="H102" i="10"/>
  <c r="H117" i="10"/>
  <c r="H132" i="10"/>
  <c r="B41" i="10"/>
  <c r="H88" i="10"/>
  <c r="L27" i="10"/>
  <c r="E27" i="10" s="1"/>
  <c r="L31" i="10"/>
  <c r="E31" i="10" s="1"/>
  <c r="B47" i="10"/>
  <c r="H33" i="10"/>
  <c r="I34" i="10"/>
  <c r="DO8" i="7"/>
  <c r="DL33" i="7"/>
  <c r="DO33" i="7"/>
  <c r="DO42" i="7"/>
  <c r="DD8" i="7"/>
  <c r="DN8" i="7"/>
  <c r="DK73" i="7"/>
  <c r="DK62" i="7"/>
  <c r="DC8" i="7"/>
  <c r="DN17" i="7"/>
  <c r="DP33" i="7"/>
  <c r="DN52" i="7"/>
  <c r="DO52" i="7"/>
  <c r="DK33" i="7"/>
  <c r="DN62" i="7"/>
  <c r="DO62" i="7"/>
  <c r="DO17" i="7"/>
  <c r="DN33" i="7"/>
  <c r="DN42" i="7"/>
  <c r="DO73" i="7"/>
  <c r="DM42" i="7"/>
  <c r="DP52" i="7"/>
  <c r="DP8" i="7"/>
  <c r="DP42" i="7"/>
  <c r="DM73" i="7"/>
  <c r="B40" i="10"/>
  <c r="L98" i="10"/>
  <c r="E98" i="10" s="1"/>
  <c r="L102" i="10"/>
  <c r="E102" i="10" s="1"/>
  <c r="L113" i="10"/>
  <c r="E113" i="10" s="1"/>
  <c r="L117" i="10"/>
  <c r="E117" i="10" s="1"/>
  <c r="L137" i="10"/>
  <c r="E137" i="10" s="1"/>
  <c r="L141" i="10"/>
  <c r="E141" i="10" s="1"/>
  <c r="L145" i="10"/>
  <c r="E145" i="10" s="1"/>
  <c r="L157" i="10"/>
  <c r="E157" i="10" s="1"/>
  <c r="L165" i="10"/>
  <c r="E165" i="10" s="1"/>
  <c r="L169" i="10"/>
  <c r="E169" i="10" s="1"/>
  <c r="L173" i="10"/>
  <c r="E173" i="10" s="1"/>
  <c r="L70" i="10"/>
  <c r="E70" i="10" s="1"/>
  <c r="L74" i="10"/>
  <c r="E74" i="10" s="1"/>
  <c r="L99" i="10"/>
  <c r="E99" i="10" s="1"/>
  <c r="L103" i="10"/>
  <c r="E103" i="10" s="1"/>
  <c r="L126" i="10"/>
  <c r="E126" i="10" s="1"/>
  <c r="L130" i="10"/>
  <c r="E130" i="10" s="1"/>
  <c r="L138" i="10"/>
  <c r="E138" i="10" s="1"/>
  <c r="L142" i="10"/>
  <c r="E142" i="10" s="1"/>
  <c r="L146" i="10"/>
  <c r="E146" i="10" s="1"/>
  <c r="L154" i="10"/>
  <c r="E154" i="10" s="1"/>
  <c r="L158" i="10"/>
  <c r="E158" i="10" s="1"/>
  <c r="L166" i="10"/>
  <c r="E166" i="10" s="1"/>
  <c r="L170" i="10"/>
  <c r="E170" i="10" s="1"/>
  <c r="L174" i="10"/>
  <c r="E174" i="10" s="1"/>
  <c r="L88" i="10"/>
  <c r="E88" i="10" s="1"/>
  <c r="L68" i="10"/>
  <c r="E68" i="10" s="1"/>
  <c r="L72" i="10"/>
  <c r="E72" i="10" s="1"/>
  <c r="L100" i="10"/>
  <c r="E100" i="10" s="1"/>
  <c r="L115" i="10"/>
  <c r="E115" i="10" s="1"/>
  <c r="L139" i="10"/>
  <c r="E139" i="10" s="1"/>
  <c r="L143" i="10"/>
  <c r="E143" i="10" s="1"/>
  <c r="L151" i="10"/>
  <c r="E151" i="10" s="1"/>
  <c r="L155" i="10"/>
  <c r="E155" i="10" s="1"/>
  <c r="L167" i="10"/>
  <c r="E167" i="10" s="1"/>
  <c r="L28" i="10"/>
  <c r="E28" i="10" s="1"/>
  <c r="L32" i="10"/>
  <c r="E32" i="10" s="1"/>
  <c r="L76" i="10"/>
  <c r="E76" i="10" s="1"/>
  <c r="L81" i="10"/>
  <c r="E81" i="10" s="1"/>
  <c r="L85" i="10"/>
  <c r="E85" i="10" s="1"/>
  <c r="L89" i="10"/>
  <c r="E89" i="10" s="1"/>
  <c r="L25" i="10"/>
  <c r="E25" i="10" s="1"/>
  <c r="L29" i="10"/>
  <c r="E29" i="10" s="1"/>
  <c r="L33" i="10"/>
  <c r="E33" i="10" s="1"/>
  <c r="L82" i="10"/>
  <c r="E82" i="10" s="1"/>
  <c r="L86" i="10"/>
  <c r="E86" i="10" s="1"/>
  <c r="L90" i="10"/>
  <c r="E90" i="10" s="1"/>
  <c r="L109" i="10"/>
  <c r="E109" i="10" s="1"/>
  <c r="L112" i="10"/>
  <c r="E112" i="10" s="1"/>
  <c r="L116" i="10"/>
  <c r="E116" i="10" s="1"/>
  <c r="L26" i="10"/>
  <c r="E26" i="10" s="1"/>
  <c r="L30" i="10"/>
  <c r="E30" i="10" s="1"/>
  <c r="L34" i="10"/>
  <c r="E34" i="10" s="1"/>
  <c r="L42" i="10"/>
  <c r="E42" i="10" s="1"/>
  <c r="L46" i="10"/>
  <c r="E46" i="10" s="1"/>
  <c r="L83" i="10"/>
  <c r="E83" i="10" s="1"/>
  <c r="L87" i="10"/>
  <c r="E87" i="10" s="1"/>
  <c r="L95" i="10"/>
  <c r="E95" i="10" s="1"/>
  <c r="L153" i="10"/>
  <c r="E153" i="10" s="1"/>
  <c r="L41" i="10"/>
  <c r="E41" i="10" s="1"/>
  <c r="L45" i="10"/>
  <c r="E45" i="10" s="1"/>
  <c r="L53" i="10"/>
  <c r="E53" i="10" s="1"/>
  <c r="L57" i="10"/>
  <c r="E57" i="10" s="1"/>
  <c r="L61" i="10"/>
  <c r="E61" i="10" s="1"/>
  <c r="L75" i="10"/>
  <c r="E75" i="10" s="1"/>
  <c r="L118" i="10"/>
  <c r="E118" i="10" s="1"/>
  <c r="L160" i="10"/>
  <c r="E160" i="10" s="1"/>
  <c r="L54" i="10"/>
  <c r="E54" i="10" s="1"/>
  <c r="L58" i="10"/>
  <c r="E58" i="10" s="1"/>
  <c r="L62" i="10"/>
  <c r="E62" i="10" s="1"/>
  <c r="L123" i="10"/>
  <c r="E123" i="10" s="1"/>
  <c r="L127" i="10"/>
  <c r="E127" i="10" s="1"/>
  <c r="L131" i="10"/>
  <c r="E131" i="10" s="1"/>
  <c r="L39" i="10"/>
  <c r="E39" i="10" s="1"/>
  <c r="L43" i="10"/>
  <c r="E43" i="10" s="1"/>
  <c r="L47" i="10"/>
  <c r="E47" i="10" s="1"/>
  <c r="L55" i="10"/>
  <c r="E55" i="10" s="1"/>
  <c r="L59" i="10"/>
  <c r="E59" i="10" s="1"/>
  <c r="L67" i="10"/>
  <c r="E67" i="10" s="1"/>
  <c r="L97" i="10"/>
  <c r="E97" i="10" s="1"/>
  <c r="L110" i="10"/>
  <c r="E110" i="10" s="1"/>
  <c r="L152" i="10"/>
  <c r="E152" i="10" s="1"/>
  <c r="L171" i="10"/>
  <c r="E171" i="10" s="1"/>
  <c r="L56" i="10"/>
  <c r="E56" i="10" s="1"/>
  <c r="L60" i="10"/>
  <c r="E60" i="10" s="1"/>
  <c r="L71" i="10"/>
  <c r="E71" i="10" s="1"/>
  <c r="L101" i="10"/>
  <c r="E101" i="10" s="1"/>
  <c r="L114" i="10"/>
  <c r="E114" i="10" s="1"/>
  <c r="L125" i="10"/>
  <c r="E125" i="10" s="1"/>
  <c r="L129" i="10"/>
  <c r="E129" i="10" s="1"/>
  <c r="L156" i="10"/>
  <c r="E156" i="10" s="1"/>
  <c r="I18" i="10"/>
  <c r="DL62" i="7" l="1"/>
  <c r="DM33" i="7"/>
  <c r="DJ62" i="7"/>
  <c r="DP62" i="7"/>
  <c r="B54" i="10"/>
  <c r="B55" i="10"/>
  <c r="B56" i="10"/>
  <c r="B57" i="10"/>
  <c r="B61" i="10"/>
  <c r="I47" i="10"/>
  <c r="B59" i="10"/>
  <c r="B62" i="10"/>
  <c r="I48" i="10"/>
  <c r="B58" i="10"/>
  <c r="I46" i="10"/>
  <c r="B60" i="10"/>
  <c r="J17" i="10"/>
  <c r="I17" i="10"/>
  <c r="B11" i="9"/>
  <c r="E81" i="9"/>
  <c r="F80" i="9"/>
  <c r="F79" i="9"/>
  <c r="E80" i="9" s="1"/>
  <c r="E77" i="9"/>
  <c r="H82" i="9" s="1"/>
  <c r="F82" i="9" s="1"/>
  <c r="B77" i="9"/>
  <c r="B78" i="9" s="1"/>
  <c r="C70" i="9"/>
  <c r="B70" i="9"/>
  <c r="H63" i="9"/>
  <c r="B63" i="9"/>
  <c r="H81" i="9" l="1"/>
  <c r="F81" i="9" s="1"/>
  <c r="E82" i="9" s="1"/>
  <c r="B64" i="9"/>
  <c r="B75" i="10"/>
  <c r="I61" i="10"/>
  <c r="B71" i="10"/>
  <c r="B70" i="10"/>
  <c r="B76" i="10"/>
  <c r="I62" i="10"/>
  <c r="B72" i="10"/>
  <c r="B73" i="10"/>
  <c r="B69" i="10"/>
  <c r="B68" i="10"/>
  <c r="I60" i="10"/>
  <c r="B74" i="10"/>
  <c r="J16" i="10"/>
  <c r="I16" i="10"/>
  <c r="J15" i="10" s="1"/>
  <c r="B55" i="9"/>
  <c r="B57" i="9" s="1"/>
  <c r="E55" i="9"/>
  <c r="G32" i="9"/>
  <c r="G33" i="9"/>
  <c r="G34" i="9"/>
  <c r="G35" i="9"/>
  <c r="G36" i="9"/>
  <c r="G37" i="9"/>
  <c r="G38" i="9"/>
  <c r="G39" i="9"/>
  <c r="G40" i="9"/>
  <c r="G41" i="9"/>
  <c r="G42" i="9"/>
  <c r="G43" i="9"/>
  <c r="G44" i="9"/>
  <c r="G31" i="9"/>
  <c r="F32" i="9"/>
  <c r="F33" i="9"/>
  <c r="F34" i="9"/>
  <c r="F35" i="9"/>
  <c r="F36" i="9"/>
  <c r="F37" i="9"/>
  <c r="F38" i="9"/>
  <c r="F39" i="9"/>
  <c r="F40" i="9"/>
  <c r="F41" i="9"/>
  <c r="F42" i="9"/>
  <c r="F43" i="9"/>
  <c r="F44" i="9"/>
  <c r="F31" i="9"/>
  <c r="E32" i="9"/>
  <c r="E33" i="9"/>
  <c r="E34" i="9"/>
  <c r="E35" i="9"/>
  <c r="E36" i="9"/>
  <c r="E37" i="9"/>
  <c r="E38" i="9"/>
  <c r="E39" i="9"/>
  <c r="E40" i="9"/>
  <c r="E41" i="9"/>
  <c r="E42" i="9"/>
  <c r="E43" i="9"/>
  <c r="E44" i="9"/>
  <c r="E31" i="9"/>
  <c r="D32" i="9"/>
  <c r="D33" i="9"/>
  <c r="D34" i="9"/>
  <c r="D35" i="9"/>
  <c r="D36" i="9"/>
  <c r="D37" i="9"/>
  <c r="D38" i="9"/>
  <c r="D39" i="9"/>
  <c r="D40" i="9"/>
  <c r="D41" i="9"/>
  <c r="D42" i="9"/>
  <c r="D43" i="9"/>
  <c r="D44" i="9"/>
  <c r="D31" i="9"/>
  <c r="C32" i="9"/>
  <c r="C33" i="9"/>
  <c r="C34" i="9"/>
  <c r="C35" i="9"/>
  <c r="C36" i="9"/>
  <c r="C37" i="9"/>
  <c r="C38" i="9"/>
  <c r="C39" i="9"/>
  <c r="C40" i="9"/>
  <c r="C41" i="9"/>
  <c r="C42" i="9"/>
  <c r="C43" i="9"/>
  <c r="C44" i="9"/>
  <c r="C31" i="9"/>
  <c r="B32" i="9"/>
  <c r="B33" i="9"/>
  <c r="B34" i="9"/>
  <c r="B35" i="9"/>
  <c r="B36" i="9"/>
  <c r="B37" i="9"/>
  <c r="B38" i="9"/>
  <c r="B39" i="9"/>
  <c r="B40" i="9"/>
  <c r="B41" i="9"/>
  <c r="B42" i="9"/>
  <c r="B43" i="9"/>
  <c r="B44" i="9"/>
  <c r="B31" i="9"/>
  <c r="B20" i="9"/>
  <c r="B48" i="9"/>
  <c r="B50" i="9" s="1"/>
  <c r="B52" i="9" s="1"/>
  <c r="B24" i="9"/>
  <c r="B25" i="9"/>
  <c r="B26" i="9"/>
  <c r="B27" i="9"/>
  <c r="B28" i="9"/>
  <c r="B23" i="9"/>
  <c r="B18" i="9"/>
  <c r="B17" i="9"/>
  <c r="B16" i="9"/>
  <c r="B15" i="9"/>
  <c r="B14" i="9"/>
  <c r="B13" i="9"/>
  <c r="B71" i="9" s="1"/>
  <c r="H28" i="4"/>
  <c r="H27" i="4"/>
  <c r="H26" i="4"/>
  <c r="H25" i="4"/>
  <c r="H24" i="4"/>
  <c r="H23" i="4"/>
  <c r="E28" i="4"/>
  <c r="E27" i="4"/>
  <c r="E26" i="4"/>
  <c r="E25" i="4"/>
  <c r="E24" i="4"/>
  <c r="E23" i="4"/>
  <c r="K28" i="4"/>
  <c r="K27" i="4"/>
  <c r="K26" i="4"/>
  <c r="K25" i="4"/>
  <c r="K24" i="4"/>
  <c r="K23" i="4"/>
  <c r="B65" i="9" l="1"/>
  <c r="B82" i="10"/>
  <c r="B90" i="10"/>
  <c r="I76" i="10"/>
  <c r="B89" i="10"/>
  <c r="I75" i="10"/>
  <c r="B84" i="10"/>
  <c r="B83" i="10"/>
  <c r="B87" i="10"/>
  <c r="B85" i="10"/>
  <c r="I74" i="10"/>
  <c r="B88" i="10"/>
  <c r="B86" i="10"/>
  <c r="B59" i="9"/>
  <c r="B60" i="9" s="1"/>
  <c r="B53" i="9"/>
  <c r="B86" i="9" l="1"/>
  <c r="B102" i="9" s="1"/>
  <c r="G98" i="9"/>
  <c r="E87" i="9"/>
  <c r="F96" i="9"/>
  <c r="D86" i="9"/>
  <c r="B99" i="9"/>
  <c r="G87" i="9"/>
  <c r="C95" i="9"/>
  <c r="C96" i="9"/>
  <c r="D90" i="9"/>
  <c r="C92" i="9"/>
  <c r="B98" i="9"/>
  <c r="F86" i="9"/>
  <c r="E95" i="9"/>
  <c r="F88" i="9"/>
  <c r="C93" i="9"/>
  <c r="G93" i="9"/>
  <c r="F99" i="9"/>
  <c r="E94" i="9"/>
  <c r="D97" i="9"/>
  <c r="G88" i="9"/>
  <c r="E93" i="9"/>
  <c r="C90" i="9"/>
  <c r="E88" i="9"/>
  <c r="E90" i="9"/>
  <c r="F90" i="9"/>
  <c r="D87" i="9"/>
  <c r="C98" i="9"/>
  <c r="D98" i="9"/>
  <c r="F97" i="9"/>
  <c r="D92" i="9"/>
  <c r="E91" i="9"/>
  <c r="F98" i="9"/>
  <c r="C89" i="9"/>
  <c r="B92" i="9"/>
  <c r="C86" i="9"/>
  <c r="E99" i="9"/>
  <c r="D94" i="9"/>
  <c r="E97" i="9"/>
  <c r="F87" i="9"/>
  <c r="B95" i="9"/>
  <c r="B96" i="9"/>
  <c r="C87" i="9"/>
  <c r="C88" i="9"/>
  <c r="G90" i="9"/>
  <c r="F93" i="9"/>
  <c r="D91" i="9"/>
  <c r="E98" i="9"/>
  <c r="E89" i="9"/>
  <c r="D93" i="9"/>
  <c r="G96" i="9"/>
  <c r="B90" i="9"/>
  <c r="D95" i="9"/>
  <c r="F92" i="9"/>
  <c r="E96" i="9"/>
  <c r="D89" i="9"/>
  <c r="F95" i="9"/>
  <c r="D99" i="9"/>
  <c r="C91" i="9"/>
  <c r="G92" i="9"/>
  <c r="G89" i="9"/>
  <c r="C97" i="9"/>
  <c r="C94" i="9"/>
  <c r="G95" i="9"/>
  <c r="B89" i="9"/>
  <c r="E92" i="9"/>
  <c r="G97" i="9"/>
  <c r="B91" i="9"/>
  <c r="D88" i="9"/>
  <c r="G91" i="9"/>
  <c r="C99" i="9"/>
  <c r="G86" i="9"/>
  <c r="G94" i="9"/>
  <c r="B88" i="9"/>
  <c r="F89" i="9"/>
  <c r="B97" i="9"/>
  <c r="E86" i="9"/>
  <c r="F91" i="9"/>
  <c r="B94" i="9"/>
  <c r="D96" i="9"/>
  <c r="G99" i="9"/>
  <c r="B93" i="9"/>
  <c r="F94" i="9"/>
  <c r="B87" i="9"/>
  <c r="B98" i="10"/>
  <c r="I88" i="10"/>
  <c r="B102" i="10"/>
  <c r="B97" i="10"/>
  <c r="B101" i="10"/>
  <c r="B99" i="10"/>
  <c r="B104" i="10"/>
  <c r="I90" i="10"/>
  <c r="B103" i="10"/>
  <c r="I89" i="10"/>
  <c r="B100" i="10"/>
  <c r="B96" i="10"/>
  <c r="B115" i="10" l="1"/>
  <c r="B110" i="10"/>
  <c r="B111" i="10"/>
  <c r="B114" i="10"/>
  <c r="B117" i="10"/>
  <c r="I103" i="10"/>
  <c r="I102" i="10"/>
  <c r="B116" i="10"/>
  <c r="B118" i="10"/>
  <c r="I104" i="10"/>
  <c r="B113" i="10"/>
  <c r="B112" i="10"/>
  <c r="D21" i="4"/>
  <c r="CV22" i="7"/>
  <c r="CU22" i="7"/>
  <c r="CT22" i="7"/>
  <c r="CS22" i="7"/>
  <c r="CQ22" i="7"/>
  <c r="CP22" i="7"/>
  <c r="CO22" i="7"/>
  <c r="CV20" i="7"/>
  <c r="CU20" i="7"/>
  <c r="CT20" i="7"/>
  <c r="CS20" i="7"/>
  <c r="CQ20" i="7"/>
  <c r="CP20" i="7"/>
  <c r="CO20" i="7"/>
  <c r="CV17" i="7"/>
  <c r="CU17" i="7"/>
  <c r="CT17" i="7"/>
  <c r="CS17" i="7"/>
  <c r="CQ17" i="7"/>
  <c r="CP17" i="7"/>
  <c r="CO17" i="7"/>
  <c r="CV15" i="7"/>
  <c r="CU15" i="7"/>
  <c r="CT15" i="7"/>
  <c r="CS15" i="7"/>
  <c r="CQ15" i="7"/>
  <c r="CP15" i="7"/>
  <c r="CO15" i="7"/>
  <c r="CV13" i="7"/>
  <c r="CU13" i="7"/>
  <c r="CT13" i="7"/>
  <c r="CS13" i="7"/>
  <c r="CQ13" i="7"/>
  <c r="CP13" i="7"/>
  <c r="CO13" i="7"/>
  <c r="CV11" i="7"/>
  <c r="CU11" i="7"/>
  <c r="CT11" i="7"/>
  <c r="CS11" i="7"/>
  <c r="CQ11" i="7"/>
  <c r="CP11" i="7"/>
  <c r="CO11" i="7"/>
  <c r="CV8" i="7"/>
  <c r="CU8" i="7"/>
  <c r="CT8" i="7"/>
  <c r="CS8" i="7"/>
  <c r="CQ8" i="7"/>
  <c r="CP8" i="7"/>
  <c r="CO8" i="7"/>
  <c r="CV6" i="7"/>
  <c r="CU6" i="7"/>
  <c r="CT6" i="7"/>
  <c r="CS6" i="7"/>
  <c r="CQ6" i="7"/>
  <c r="CP6" i="7"/>
  <c r="CO6" i="7"/>
  <c r="CV4" i="7"/>
  <c r="CU4" i="7"/>
  <c r="CT4" i="7"/>
  <c r="CS4" i="7"/>
  <c r="CQ4" i="7"/>
  <c r="CP4" i="7"/>
  <c r="CO4" i="7"/>
  <c r="CT2" i="7"/>
  <c r="CU2" i="7"/>
  <c r="CV2" i="7"/>
  <c r="CS2" i="7"/>
  <c r="CQ2" i="7"/>
  <c r="CP2" i="7"/>
  <c r="CO2" i="7"/>
  <c r="V5" i="7"/>
  <c r="V6" i="7"/>
  <c r="B127" i="10" l="1"/>
  <c r="B128" i="10"/>
  <c r="B131" i="10"/>
  <c r="I117" i="10"/>
  <c r="I118" i="10"/>
  <c r="B132" i="10"/>
  <c r="I116" i="10"/>
  <c r="B130" i="10"/>
  <c r="B124" i="10"/>
  <c r="B126" i="10"/>
  <c r="B125" i="10"/>
  <c r="B129" i="10"/>
  <c r="J78" i="7"/>
  <c r="AS78" i="7" s="1"/>
  <c r="BY78" i="7" s="1"/>
  <c r="J77" i="7"/>
  <c r="AS77" i="7" s="1"/>
  <c r="BY77" i="7" s="1"/>
  <c r="J66" i="7"/>
  <c r="AS66" i="7" s="1"/>
  <c r="J65" i="7"/>
  <c r="J56" i="7"/>
  <c r="AS56" i="7" s="1"/>
  <c r="J55" i="7"/>
  <c r="N46" i="7"/>
  <c r="AW46" i="7" s="1"/>
  <c r="N45" i="7"/>
  <c r="L37" i="7"/>
  <c r="AU37" i="7" s="1"/>
  <c r="L36" i="7"/>
  <c r="L28" i="7"/>
  <c r="AU28" i="7" s="1"/>
  <c r="L27" i="7"/>
  <c r="J21" i="7"/>
  <c r="AS21" i="7" s="1"/>
  <c r="J20" i="7"/>
  <c r="T5" i="7"/>
  <c r="BC5" i="7" s="1"/>
  <c r="T4" i="7"/>
  <c r="BC4" i="7" s="1"/>
  <c r="P13" i="7"/>
  <c r="AY13" i="7" s="1"/>
  <c r="CB13" i="7" s="1"/>
  <c r="P11" i="7"/>
  <c r="CD5" i="7" l="1"/>
  <c r="DI5" i="7"/>
  <c r="CD4" i="7"/>
  <c r="DI4" i="7"/>
  <c r="CA46" i="7"/>
  <c r="BZ37" i="7"/>
  <c r="BY56" i="7"/>
  <c r="BY66" i="7"/>
  <c r="BY21" i="7"/>
  <c r="BZ28" i="7"/>
  <c r="I132" i="10"/>
  <c r="B146" i="10"/>
  <c r="I131" i="10"/>
  <c r="B145" i="10"/>
  <c r="B143" i="10"/>
  <c r="B140" i="10"/>
  <c r="B139" i="10"/>
  <c r="B138" i="10"/>
  <c r="B142" i="10"/>
  <c r="I130" i="10"/>
  <c r="B144" i="10"/>
  <c r="B141" i="10"/>
  <c r="DD83" i="7"/>
  <c r="AW45" i="7"/>
  <c r="CA45" i="7" s="1"/>
  <c r="AY11" i="7"/>
  <c r="AU36" i="7"/>
  <c r="BZ36" i="7" s="1"/>
  <c r="BZ42" i="7" s="1"/>
  <c r="AS20" i="7"/>
  <c r="BY20" i="7" s="1"/>
  <c r="AS55" i="7"/>
  <c r="BY55" i="7" s="1"/>
  <c r="BY62" i="7" s="1"/>
  <c r="AU27" i="7"/>
  <c r="BZ27" i="7" s="1"/>
  <c r="AS65" i="7"/>
  <c r="BY65" i="7" s="1"/>
  <c r="BY83" i="7"/>
  <c r="DD91" i="7" s="1"/>
  <c r="F86" i="7"/>
  <c r="D90" i="7"/>
  <c r="AM90" i="7" s="1"/>
  <c r="BV90" i="7" s="1"/>
  <c r="D89" i="7"/>
  <c r="AM89" i="7" s="1"/>
  <c r="BV89" i="7" s="1"/>
  <c r="D88" i="7"/>
  <c r="AM88" i="7" s="1"/>
  <c r="BV88" i="7" s="1"/>
  <c r="D87" i="7"/>
  <c r="AM87" i="7" s="1"/>
  <c r="BV87" i="7" s="1"/>
  <c r="D86" i="7"/>
  <c r="T82" i="7"/>
  <c r="BC82" i="7" s="1"/>
  <c r="CD82" i="7" s="1"/>
  <c r="T81" i="7"/>
  <c r="BC81" i="7" s="1"/>
  <c r="CD81" i="7" s="1"/>
  <c r="T80" i="7"/>
  <c r="BC80" i="7" s="1"/>
  <c r="CD80" i="7" s="1"/>
  <c r="T79" i="7"/>
  <c r="BC79" i="7" s="1"/>
  <c r="CD79" i="7" s="1"/>
  <c r="T78" i="7"/>
  <c r="BC78" i="7" s="1"/>
  <c r="CD78" i="7" s="1"/>
  <c r="T77" i="7"/>
  <c r="BC77" i="7" s="1"/>
  <c r="CD77" i="7" s="1"/>
  <c r="R79" i="7"/>
  <c r="BA79" i="7" s="1"/>
  <c r="CC79" i="7" s="1"/>
  <c r="R78" i="7"/>
  <c r="BA78" i="7" s="1"/>
  <c r="CC78" i="7" s="1"/>
  <c r="R77" i="7"/>
  <c r="BA77" i="7" s="1"/>
  <c r="CC77" i="7" s="1"/>
  <c r="P77" i="7"/>
  <c r="AY77" i="7" s="1"/>
  <c r="CB77" i="7" s="1"/>
  <c r="N79" i="7"/>
  <c r="AW79" i="7" s="1"/>
  <c r="CA79" i="7" s="1"/>
  <c r="N78" i="7"/>
  <c r="AW78" i="7" s="1"/>
  <c r="CA78" i="7" s="1"/>
  <c r="N77" i="7"/>
  <c r="AW77" i="7" s="1"/>
  <c r="CA77" i="7" s="1"/>
  <c r="L80" i="7"/>
  <c r="AU80" i="7" s="1"/>
  <c r="BZ80" i="7" s="1"/>
  <c r="L79" i="7"/>
  <c r="AU79" i="7" s="1"/>
  <c r="BZ79" i="7" s="1"/>
  <c r="L78" i="7"/>
  <c r="AU78" i="7" s="1"/>
  <c r="BZ78" i="7" s="1"/>
  <c r="L77" i="7"/>
  <c r="AU77" i="7" s="1"/>
  <c r="BZ77" i="7" s="1"/>
  <c r="H78" i="7"/>
  <c r="AQ78" i="7" s="1"/>
  <c r="BX78" i="7" s="1"/>
  <c r="H77" i="7"/>
  <c r="AQ77" i="7" s="1"/>
  <c r="BX77" i="7" s="1"/>
  <c r="F78" i="7"/>
  <c r="AO78" i="7" s="1"/>
  <c r="BW78" i="7" s="1"/>
  <c r="F77" i="7"/>
  <c r="AO77" i="7" s="1"/>
  <c r="BW77" i="7" s="1"/>
  <c r="D81" i="7"/>
  <c r="AM81" i="7" s="1"/>
  <c r="BV81" i="7" s="1"/>
  <c r="D80" i="7"/>
  <c r="AM80" i="7" s="1"/>
  <c r="BV80" i="7" s="1"/>
  <c r="D79" i="7"/>
  <c r="AM79" i="7" s="1"/>
  <c r="BV79" i="7" s="1"/>
  <c r="D78" i="7"/>
  <c r="AM78" i="7" s="1"/>
  <c r="BV78" i="7" s="1"/>
  <c r="D77" i="7"/>
  <c r="AM77" i="7" s="1"/>
  <c r="BV77" i="7" s="1"/>
  <c r="V70" i="7"/>
  <c r="BE70" i="7" s="1"/>
  <c r="CE70" i="7" s="1"/>
  <c r="V69" i="7"/>
  <c r="BE69" i="7" s="1"/>
  <c r="CE69" i="7" s="1"/>
  <c r="V68" i="7"/>
  <c r="BE68" i="7" s="1"/>
  <c r="CE68" i="7" s="1"/>
  <c r="V67" i="7"/>
  <c r="BE67" i="7" s="1"/>
  <c r="V66" i="7"/>
  <c r="BE66" i="7" s="1"/>
  <c r="CE66" i="7" s="1"/>
  <c r="V65" i="7"/>
  <c r="BE65" i="7" s="1"/>
  <c r="T67" i="7"/>
  <c r="BC67" i="7" s="1"/>
  <c r="CD67" i="7" s="1"/>
  <c r="T66" i="7"/>
  <c r="BC66" i="7" s="1"/>
  <c r="T65" i="7"/>
  <c r="BC65" i="7" s="1"/>
  <c r="R65" i="7"/>
  <c r="P68" i="7"/>
  <c r="AY68" i="7" s="1"/>
  <c r="P67" i="7"/>
  <c r="AY67" i="7" s="1"/>
  <c r="CB67" i="7" s="1"/>
  <c r="P66" i="7"/>
  <c r="AY66" i="7" s="1"/>
  <c r="P65" i="7"/>
  <c r="N72" i="7"/>
  <c r="AW72" i="7" s="1"/>
  <c r="CA72" i="7" s="1"/>
  <c r="N71" i="7"/>
  <c r="AW71" i="7" s="1"/>
  <c r="CA71" i="7" s="1"/>
  <c r="N70" i="7"/>
  <c r="AW70" i="7" s="1"/>
  <c r="N69" i="7"/>
  <c r="AW69" i="7" s="1"/>
  <c r="CA69" i="7" s="1"/>
  <c r="N68" i="7"/>
  <c r="AW68" i="7" s="1"/>
  <c r="CA68" i="7" s="1"/>
  <c r="N67" i="7"/>
  <c r="AW67" i="7" s="1"/>
  <c r="N66" i="7"/>
  <c r="AW66" i="7" s="1"/>
  <c r="N65" i="7"/>
  <c r="L69" i="7"/>
  <c r="AU69" i="7" s="1"/>
  <c r="L68" i="7"/>
  <c r="AU68" i="7" s="1"/>
  <c r="BZ68" i="7" s="1"/>
  <c r="L67" i="7"/>
  <c r="AU67" i="7" s="1"/>
  <c r="BZ67" i="7" s="1"/>
  <c r="L66" i="7"/>
  <c r="AU66" i="7" s="1"/>
  <c r="BZ66" i="7" s="1"/>
  <c r="L65" i="7"/>
  <c r="H66" i="7"/>
  <c r="AQ66" i="7" s="1"/>
  <c r="BX66" i="7" s="1"/>
  <c r="H65" i="7"/>
  <c r="F68" i="7"/>
  <c r="AO68" i="7" s="1"/>
  <c r="BW68" i="7" s="1"/>
  <c r="F67" i="7"/>
  <c r="AO67" i="7" s="1"/>
  <c r="BW67" i="7" s="1"/>
  <c r="F66" i="7"/>
  <c r="AO66" i="7" s="1"/>
  <c r="BW66" i="7" s="1"/>
  <c r="F65" i="7"/>
  <c r="D67" i="7"/>
  <c r="AM67" i="7" s="1"/>
  <c r="BV67" i="7" s="1"/>
  <c r="D66" i="7"/>
  <c r="AM66" i="7" s="1"/>
  <c r="BV66" i="7" s="1"/>
  <c r="D65" i="7"/>
  <c r="R60" i="7"/>
  <c r="BA60" i="7" s="1"/>
  <c r="CC60" i="7" s="1"/>
  <c r="R59" i="7"/>
  <c r="BA59" i="7" s="1"/>
  <c r="CC59" i="7" s="1"/>
  <c r="R58" i="7"/>
  <c r="BA58" i="7" s="1"/>
  <c r="CC58" i="7" s="1"/>
  <c r="R57" i="7"/>
  <c r="BA57" i="7" s="1"/>
  <c r="R56" i="7"/>
  <c r="BA56" i="7" s="1"/>
  <c r="CC56" i="7" s="1"/>
  <c r="R55" i="7"/>
  <c r="P57" i="7"/>
  <c r="AY57" i="7" s="1"/>
  <c r="CB57" i="7" s="1"/>
  <c r="P56" i="7"/>
  <c r="AY56" i="7" s="1"/>
  <c r="CB56" i="7" s="1"/>
  <c r="P55" i="7"/>
  <c r="N55" i="7"/>
  <c r="L57" i="7"/>
  <c r="AU57" i="7" s="1"/>
  <c r="BZ57" i="7" s="1"/>
  <c r="L56" i="7"/>
  <c r="AU56" i="7" s="1"/>
  <c r="BZ56" i="7" s="1"/>
  <c r="L55" i="7"/>
  <c r="H56" i="7"/>
  <c r="AQ56" i="7" s="1"/>
  <c r="BX56" i="7" s="1"/>
  <c r="H55" i="7"/>
  <c r="F58" i="7"/>
  <c r="AO58" i="7" s="1"/>
  <c r="BW58" i="7" s="1"/>
  <c r="F57" i="7"/>
  <c r="AO57" i="7" s="1"/>
  <c r="F56" i="7"/>
  <c r="AO56" i="7" s="1"/>
  <c r="BW56" i="7" s="1"/>
  <c r="F55" i="7"/>
  <c r="D58" i="7"/>
  <c r="AM58" i="7" s="1"/>
  <c r="BV58" i="7" s="1"/>
  <c r="D57" i="7"/>
  <c r="AM57" i="7" s="1"/>
  <c r="D56" i="7"/>
  <c r="AM56" i="7" s="1"/>
  <c r="AM55" i="7"/>
  <c r="AB50" i="7"/>
  <c r="BK50" i="7" s="1"/>
  <c r="CH50" i="7" s="1"/>
  <c r="AB49" i="7"/>
  <c r="BK49" i="7" s="1"/>
  <c r="CH49" i="7" s="1"/>
  <c r="AB48" i="7"/>
  <c r="BK48" i="7" s="1"/>
  <c r="CH48" i="7" s="1"/>
  <c r="AB47" i="7"/>
  <c r="BK47" i="7" s="1"/>
  <c r="AB46" i="7"/>
  <c r="BK46" i="7" s="1"/>
  <c r="CH46" i="7" s="1"/>
  <c r="AB45" i="7"/>
  <c r="BK45" i="7" s="1"/>
  <c r="Z47" i="7"/>
  <c r="BI47" i="7" s="1"/>
  <c r="CG47" i="7" s="1"/>
  <c r="Z46" i="7"/>
  <c r="BI46" i="7" s="1"/>
  <c r="Z45" i="7"/>
  <c r="BI45" i="7" s="1"/>
  <c r="X45" i="7"/>
  <c r="BG45" i="7" s="1"/>
  <c r="V45" i="7"/>
  <c r="BE45" i="7" s="1"/>
  <c r="T50" i="7"/>
  <c r="BC50" i="7" s="1"/>
  <c r="CD50" i="7" s="1"/>
  <c r="T49" i="7"/>
  <c r="BC49" i="7" s="1"/>
  <c r="CD49" i="7" s="1"/>
  <c r="T48" i="7"/>
  <c r="BC48" i="7" s="1"/>
  <c r="T47" i="7"/>
  <c r="BC47" i="7" s="1"/>
  <c r="CD47" i="7" s="1"/>
  <c r="T46" i="7"/>
  <c r="BC46" i="7" s="1"/>
  <c r="CD46" i="7" s="1"/>
  <c r="T45" i="7"/>
  <c r="BC45" i="7" s="1"/>
  <c r="R50" i="7"/>
  <c r="BA50" i="7" s="1"/>
  <c r="CC50" i="7" s="1"/>
  <c r="R49" i="7"/>
  <c r="BA49" i="7" s="1"/>
  <c r="CC49" i="7" s="1"/>
  <c r="R48" i="7"/>
  <c r="BA48" i="7" s="1"/>
  <c r="CC48" i="7" s="1"/>
  <c r="R47" i="7"/>
  <c r="BA47" i="7" s="1"/>
  <c r="CC47" i="7" s="1"/>
  <c r="R46" i="7"/>
  <c r="BA46" i="7" s="1"/>
  <c r="CC46" i="7" s="1"/>
  <c r="R45" i="7"/>
  <c r="P49" i="7"/>
  <c r="AY49" i="7" s="1"/>
  <c r="CB49" i="7" s="1"/>
  <c r="P48" i="7"/>
  <c r="AY48" i="7" s="1"/>
  <c r="CB48" i="7" s="1"/>
  <c r="P47" i="7"/>
  <c r="AY47" i="7" s="1"/>
  <c r="P46" i="7"/>
  <c r="AY46" i="7" s="1"/>
  <c r="CB46" i="7" s="1"/>
  <c r="P45" i="7"/>
  <c r="L46" i="7"/>
  <c r="AU46" i="7" s="1"/>
  <c r="BZ46" i="7" s="1"/>
  <c r="L45" i="7"/>
  <c r="J48" i="7"/>
  <c r="AS48" i="7" s="1"/>
  <c r="BY48" i="7" s="1"/>
  <c r="J47" i="7"/>
  <c r="AS47" i="7" s="1"/>
  <c r="BY47" i="7" s="1"/>
  <c r="J46" i="7"/>
  <c r="AS46" i="7" s="1"/>
  <c r="BY46" i="7" s="1"/>
  <c r="J45" i="7"/>
  <c r="H48" i="7"/>
  <c r="AQ48" i="7" s="1"/>
  <c r="H47" i="7"/>
  <c r="AQ47" i="7" s="1"/>
  <c r="BX47" i="7" s="1"/>
  <c r="H46" i="7"/>
  <c r="AQ46" i="7" s="1"/>
  <c r="BX46" i="7" s="1"/>
  <c r="H45" i="7"/>
  <c r="F46" i="7"/>
  <c r="AO46" i="7" s="1"/>
  <c r="F45" i="7"/>
  <c r="D47" i="7"/>
  <c r="AM47" i="7" s="1"/>
  <c r="BV47" i="7" s="1"/>
  <c r="D46" i="7"/>
  <c r="AM46" i="7" s="1"/>
  <c r="BV46" i="7" s="1"/>
  <c r="D45" i="7"/>
  <c r="Z41" i="7"/>
  <c r="BI41" i="7" s="1"/>
  <c r="CG41" i="7" s="1"/>
  <c r="Z40" i="7"/>
  <c r="BI40" i="7" s="1"/>
  <c r="CG40" i="7" s="1"/>
  <c r="Z39" i="7"/>
  <c r="BI39" i="7" s="1"/>
  <c r="CG39" i="7" s="1"/>
  <c r="Z38" i="7"/>
  <c r="BI38" i="7" s="1"/>
  <c r="Z37" i="7"/>
  <c r="BI37" i="7" s="1"/>
  <c r="CG37" i="7" s="1"/>
  <c r="Z36" i="7"/>
  <c r="BI36" i="7" s="1"/>
  <c r="CG36" i="7" s="1"/>
  <c r="X38" i="7"/>
  <c r="BG38" i="7" s="1"/>
  <c r="CF38" i="7" s="1"/>
  <c r="X37" i="7"/>
  <c r="BG37" i="7" s="1"/>
  <c r="CF37" i="7" s="1"/>
  <c r="X36" i="7"/>
  <c r="BG36" i="7" s="1"/>
  <c r="V36" i="7"/>
  <c r="BE36" i="7" s="1"/>
  <c r="T36" i="7"/>
  <c r="BC36" i="7" s="1"/>
  <c r="R41" i="7"/>
  <c r="BA41" i="7" s="1"/>
  <c r="R40" i="7"/>
  <c r="BA40" i="7" s="1"/>
  <c r="CC40" i="7" s="1"/>
  <c r="R38" i="7"/>
  <c r="BA38" i="7" s="1"/>
  <c r="CC38" i="7" s="1"/>
  <c r="R39" i="7"/>
  <c r="BA39" i="7" s="1"/>
  <c r="CC39" i="7" s="1"/>
  <c r="R37" i="7"/>
  <c r="BA37" i="7" s="1"/>
  <c r="CC37" i="7" s="1"/>
  <c r="R36" i="7"/>
  <c r="P41" i="7"/>
  <c r="AY41" i="7" s="1"/>
  <c r="CB41" i="7" s="1"/>
  <c r="P40" i="7"/>
  <c r="AY40" i="7" s="1"/>
  <c r="CB40" i="7" s="1"/>
  <c r="P39" i="7"/>
  <c r="AY39" i="7" s="1"/>
  <c r="CB39" i="7" s="1"/>
  <c r="P38" i="7"/>
  <c r="AY38" i="7" s="1"/>
  <c r="CB38" i="7" s="1"/>
  <c r="P37" i="7"/>
  <c r="AY37" i="7" s="1"/>
  <c r="CB37" i="7" s="1"/>
  <c r="P36" i="7"/>
  <c r="N41" i="7"/>
  <c r="AW41" i="7" s="1"/>
  <c r="CA41" i="7" s="1"/>
  <c r="N40" i="7"/>
  <c r="AW40" i="7" s="1"/>
  <c r="N39" i="7"/>
  <c r="AW39" i="7" s="1"/>
  <c r="CA39" i="7" s="1"/>
  <c r="N38" i="7"/>
  <c r="AW38" i="7" s="1"/>
  <c r="CA38" i="7" s="1"/>
  <c r="N37" i="7"/>
  <c r="AW37" i="7" s="1"/>
  <c r="CA37" i="7" s="1"/>
  <c r="N36" i="7"/>
  <c r="J37" i="7"/>
  <c r="AS37" i="7" s="1"/>
  <c r="BY37" i="7" s="1"/>
  <c r="J36" i="7"/>
  <c r="H39" i="7"/>
  <c r="AQ39" i="7" s="1"/>
  <c r="BX39" i="7" s="1"/>
  <c r="H38" i="7"/>
  <c r="AQ38" i="7" s="1"/>
  <c r="BX38" i="7" s="1"/>
  <c r="H37" i="7"/>
  <c r="AQ37" i="7" s="1"/>
  <c r="BX37" i="7" s="1"/>
  <c r="H36" i="7"/>
  <c r="F38" i="7"/>
  <c r="AO38" i="7" s="1"/>
  <c r="F37" i="7"/>
  <c r="AO37" i="7" s="1"/>
  <c r="F36" i="7"/>
  <c r="D36" i="7"/>
  <c r="V29" i="7"/>
  <c r="BE29" i="7" s="1"/>
  <c r="V28" i="7"/>
  <c r="BE28" i="7" s="1"/>
  <c r="CE28" i="7" s="1"/>
  <c r="V27" i="7"/>
  <c r="BE27" i="7" s="1"/>
  <c r="T29" i="7"/>
  <c r="BC29" i="7" s="1"/>
  <c r="CD29" i="7" s="1"/>
  <c r="T28" i="7"/>
  <c r="BC28" i="7" s="1"/>
  <c r="T27" i="7"/>
  <c r="BC27" i="7" s="1"/>
  <c r="BY73" i="7" l="1"/>
  <c r="DE28" i="7"/>
  <c r="DD67" i="7"/>
  <c r="DD61" i="7"/>
  <c r="DE41" i="7"/>
  <c r="CB11" i="7"/>
  <c r="CB17" i="7" s="1"/>
  <c r="DG14" i="7"/>
  <c r="DD21" i="7"/>
  <c r="DF50" i="7"/>
  <c r="BZ33" i="7"/>
  <c r="CC41" i="7"/>
  <c r="DH41" i="7"/>
  <c r="BW38" i="7"/>
  <c r="DB38" i="7"/>
  <c r="CE27" i="7"/>
  <c r="DJ27" i="7"/>
  <c r="CH45" i="7"/>
  <c r="DM48" i="7"/>
  <c r="CE65" i="7"/>
  <c r="DJ66" i="7"/>
  <c r="CC57" i="7"/>
  <c r="CG38" i="7"/>
  <c r="CG42" i="7" s="1"/>
  <c r="DL41" i="7"/>
  <c r="CH47" i="7"/>
  <c r="DM50" i="7"/>
  <c r="CE29" i="7"/>
  <c r="DJ31" i="7"/>
  <c r="CE67" i="7"/>
  <c r="DJ70" i="7"/>
  <c r="CD28" i="7"/>
  <c r="DI31" i="7"/>
  <c r="CD66" i="7"/>
  <c r="DI70" i="7"/>
  <c r="CG46" i="7"/>
  <c r="DL50" i="7"/>
  <c r="CD65" i="7"/>
  <c r="DI66" i="7"/>
  <c r="CF36" i="7"/>
  <c r="CF42" i="7" s="1"/>
  <c r="DK41" i="7"/>
  <c r="CG45" i="7"/>
  <c r="DL48" i="7"/>
  <c r="CD27" i="7"/>
  <c r="DI27" i="7"/>
  <c r="CF45" i="7"/>
  <c r="CF52" i="7" s="1"/>
  <c r="DK50" i="7"/>
  <c r="CE36" i="7"/>
  <c r="CE42" i="7" s="1"/>
  <c r="DJ41" i="7"/>
  <c r="CD36" i="7"/>
  <c r="CD42" i="7" s="1"/>
  <c r="DI41" i="7"/>
  <c r="CE45" i="7"/>
  <c r="CE52" i="7" s="1"/>
  <c r="DJ51" i="7"/>
  <c r="CB68" i="7"/>
  <c r="DG70" i="7"/>
  <c r="CB66" i="7"/>
  <c r="DG72" i="7"/>
  <c r="CD48" i="7"/>
  <c r="DI50" i="7"/>
  <c r="CD45" i="7"/>
  <c r="DI48" i="7"/>
  <c r="CA70" i="7"/>
  <c r="DF65" i="7"/>
  <c r="CA67" i="7"/>
  <c r="DF69" i="7"/>
  <c r="CA66" i="7"/>
  <c r="DF71" i="7"/>
  <c r="BZ69" i="7"/>
  <c r="DE67" i="7"/>
  <c r="CA40" i="7"/>
  <c r="DF39" i="7"/>
  <c r="CB47" i="7"/>
  <c r="DG48" i="7"/>
  <c r="BX83" i="7"/>
  <c r="CA52" i="7"/>
  <c r="BY24" i="7"/>
  <c r="BW57" i="7"/>
  <c r="DB59" i="7"/>
  <c r="BV57" i="7"/>
  <c r="DA59" i="7"/>
  <c r="BV56" i="7"/>
  <c r="DA61" i="7"/>
  <c r="BV55" i="7"/>
  <c r="DA55" i="7"/>
  <c r="BW37" i="7"/>
  <c r="DB37" i="7"/>
  <c r="BX48" i="7"/>
  <c r="BX52" i="7" s="1"/>
  <c r="DC45" i="7"/>
  <c r="BW46" i="7"/>
  <c r="DB47" i="7"/>
  <c r="I144" i="10"/>
  <c r="B158" i="10"/>
  <c r="I158" i="10" s="1"/>
  <c r="B154" i="10"/>
  <c r="B156" i="10"/>
  <c r="B157" i="10"/>
  <c r="B159" i="10"/>
  <c r="I159" i="10" s="1"/>
  <c r="I145" i="10"/>
  <c r="B152" i="10"/>
  <c r="B155" i="10"/>
  <c r="B153" i="10"/>
  <c r="I146" i="10"/>
  <c r="B160" i="10"/>
  <c r="I160" i="10" s="1"/>
  <c r="DF83" i="7"/>
  <c r="DC83" i="7"/>
  <c r="DE83" i="7"/>
  <c r="DH83" i="7"/>
  <c r="DB83" i="7"/>
  <c r="DI8" i="7"/>
  <c r="BA36" i="7"/>
  <c r="CC36" i="7" s="1"/>
  <c r="AY45" i="7"/>
  <c r="AM36" i="7"/>
  <c r="AS36" i="7"/>
  <c r="AY36" i="7"/>
  <c r="AS45" i="7"/>
  <c r="AY55" i="7"/>
  <c r="AQ65" i="7"/>
  <c r="AW36" i="7"/>
  <c r="AU65" i="7"/>
  <c r="AO55" i="7"/>
  <c r="AM45" i="7"/>
  <c r="AO36" i="7"/>
  <c r="AM65" i="7"/>
  <c r="DI83" i="7"/>
  <c r="CD83" i="7"/>
  <c r="DI91" i="7" s="1"/>
  <c r="AQ55" i="7"/>
  <c r="BA45" i="7"/>
  <c r="BA55" i="7"/>
  <c r="CC55" i="7" s="1"/>
  <c r="BA65" i="7"/>
  <c r="AQ45" i="7"/>
  <c r="DC48" i="7" s="1"/>
  <c r="AU45" i="7"/>
  <c r="AU55" i="7"/>
  <c r="AO65" i="7"/>
  <c r="AO86" i="7"/>
  <c r="BW86" i="7" s="1"/>
  <c r="AQ36" i="7"/>
  <c r="CB83" i="7"/>
  <c r="DG91" i="7" s="1"/>
  <c r="DG83" i="7"/>
  <c r="AO45" i="7"/>
  <c r="AW55" i="7"/>
  <c r="AW65" i="7"/>
  <c r="AY65" i="7"/>
  <c r="AM86" i="7"/>
  <c r="BV86" i="7" s="1"/>
  <c r="BW83" i="7"/>
  <c r="BZ83" i="7"/>
  <c r="DE91" i="7" s="1"/>
  <c r="CC83" i="7"/>
  <c r="DH91" i="7" s="1"/>
  <c r="CA83" i="7"/>
  <c r="DF91" i="7" s="1"/>
  <c r="DC91" i="7"/>
  <c r="BV83" i="7"/>
  <c r="R27" i="7"/>
  <c r="P30" i="7"/>
  <c r="AY30" i="7" s="1"/>
  <c r="CB30" i="7" s="1"/>
  <c r="P29" i="7"/>
  <c r="AY29" i="7" s="1"/>
  <c r="CB29" i="7" s="1"/>
  <c r="P28" i="7"/>
  <c r="AY28" i="7" s="1"/>
  <c r="CB28" i="7" s="1"/>
  <c r="P27" i="7"/>
  <c r="N31" i="7"/>
  <c r="AW31" i="7" s="1"/>
  <c r="CA31" i="7" s="1"/>
  <c r="N30" i="7"/>
  <c r="AW30" i="7" s="1"/>
  <c r="CA30" i="7" s="1"/>
  <c r="N29" i="7"/>
  <c r="AW29" i="7" s="1"/>
  <c r="CA29" i="7" s="1"/>
  <c r="N28" i="7"/>
  <c r="AW28" i="7" s="1"/>
  <c r="CA28" i="7" s="1"/>
  <c r="N27" i="7"/>
  <c r="J28" i="7"/>
  <c r="AS28" i="7" s="1"/>
  <c r="BY28" i="7" s="1"/>
  <c r="J27" i="7"/>
  <c r="H30" i="7"/>
  <c r="AQ30" i="7" s="1"/>
  <c r="BX30" i="7" s="1"/>
  <c r="H29" i="7"/>
  <c r="AQ29" i="7" s="1"/>
  <c r="BX29" i="7" s="1"/>
  <c r="H28" i="7"/>
  <c r="AQ28" i="7" s="1"/>
  <c r="BX28" i="7" s="1"/>
  <c r="H27" i="7"/>
  <c r="F28" i="7"/>
  <c r="AO28" i="7" s="1"/>
  <c r="BW28" i="7" s="1"/>
  <c r="F27" i="7"/>
  <c r="D32" i="7"/>
  <c r="AM32" i="7" s="1"/>
  <c r="D31" i="7"/>
  <c r="AM31" i="7" s="1"/>
  <c r="BV31" i="7" s="1"/>
  <c r="D30" i="7"/>
  <c r="AM30" i="7" s="1"/>
  <c r="D29" i="7"/>
  <c r="AM29" i="7" s="1"/>
  <c r="D28" i="7"/>
  <c r="AM28" i="7" s="1"/>
  <c r="BV28" i="7" s="1"/>
  <c r="D27" i="7"/>
  <c r="AJ21" i="7"/>
  <c r="BS21" i="7" s="1"/>
  <c r="AJ20" i="7"/>
  <c r="BS20" i="7" s="1"/>
  <c r="AH23" i="7"/>
  <c r="BQ23" i="7" s="1"/>
  <c r="AH22" i="7"/>
  <c r="BQ22" i="7" s="1"/>
  <c r="AH21" i="7"/>
  <c r="BQ21" i="7" s="1"/>
  <c r="CK21" i="7" s="1"/>
  <c r="AH20" i="7"/>
  <c r="BQ20" i="7" s="1"/>
  <c r="CK20" i="7" s="1"/>
  <c r="AF22" i="7"/>
  <c r="BO22" i="7" s="1"/>
  <c r="CJ22" i="7" s="1"/>
  <c r="AF21" i="7"/>
  <c r="BO21" i="7" s="1"/>
  <c r="CJ21" i="7" s="1"/>
  <c r="AF20" i="7"/>
  <c r="BO20" i="7" s="1"/>
  <c r="AD20" i="7"/>
  <c r="BM20" i="7" s="1"/>
  <c r="AB22" i="7"/>
  <c r="BK22" i="7" s="1"/>
  <c r="CH22" i="7" s="1"/>
  <c r="AB21" i="7"/>
  <c r="BK21" i="7" s="1"/>
  <c r="CH21" i="7" s="1"/>
  <c r="AB20" i="7"/>
  <c r="BK20" i="7" s="1"/>
  <c r="Z20" i="7"/>
  <c r="BI20" i="7" s="1"/>
  <c r="X23" i="7"/>
  <c r="BG23" i="7" s="1"/>
  <c r="CF23" i="7" s="1"/>
  <c r="X22" i="7"/>
  <c r="BG22" i="7" s="1"/>
  <c r="CF22" i="7" s="1"/>
  <c r="X21" i="7"/>
  <c r="BG21" i="7" s="1"/>
  <c r="X20" i="7"/>
  <c r="BG20" i="7" s="1"/>
  <c r="V23" i="7"/>
  <c r="BE23" i="7" s="1"/>
  <c r="CE23" i="7" s="1"/>
  <c r="V22" i="7"/>
  <c r="BE22" i="7" s="1"/>
  <c r="CE22" i="7" s="1"/>
  <c r="V21" i="7"/>
  <c r="BE21" i="7" s="1"/>
  <c r="CE21" i="7" s="1"/>
  <c r="V20" i="7"/>
  <c r="BE20" i="7" s="1"/>
  <c r="T23" i="7"/>
  <c r="BC23" i="7" s="1"/>
  <c r="CD23" i="7" s="1"/>
  <c r="T22" i="7"/>
  <c r="BC22" i="7" s="1"/>
  <c r="CD22" i="7" s="1"/>
  <c r="T21" i="7"/>
  <c r="BC21" i="7" s="1"/>
  <c r="CD21" i="7" s="1"/>
  <c r="T20" i="7"/>
  <c r="BC20" i="7" s="1"/>
  <c r="R20" i="7"/>
  <c r="P20" i="7"/>
  <c r="N20" i="7"/>
  <c r="L21" i="7"/>
  <c r="AU21" i="7" s="1"/>
  <c r="BZ21" i="7" s="1"/>
  <c r="L20" i="7"/>
  <c r="H21" i="7"/>
  <c r="AQ21" i="7" s="1"/>
  <c r="BX21" i="7" s="1"/>
  <c r="H20" i="7"/>
  <c r="F23" i="7"/>
  <c r="AO23" i="7" s="1"/>
  <c r="BW23" i="7" s="1"/>
  <c r="F22" i="7"/>
  <c r="AO22" i="7" s="1"/>
  <c r="BW22" i="7" s="1"/>
  <c r="F21" i="7"/>
  <c r="AO21" i="7" s="1"/>
  <c r="BW21" i="7" s="1"/>
  <c r="F20" i="7"/>
  <c r="D22" i="7"/>
  <c r="AM22" i="7" s="1"/>
  <c r="BV22" i="7" s="1"/>
  <c r="D21" i="7"/>
  <c r="AM21" i="7" s="1"/>
  <c r="D20" i="7"/>
  <c r="AB13" i="7"/>
  <c r="BK13" i="7" s="1"/>
  <c r="CH13" i="7" s="1"/>
  <c r="AB16" i="7"/>
  <c r="BK16" i="7" s="1"/>
  <c r="CH16" i="7" s="1"/>
  <c r="AB14" i="7"/>
  <c r="BK14" i="7" s="1"/>
  <c r="AB15" i="7"/>
  <c r="BK15" i="7" s="1"/>
  <c r="AB12" i="7"/>
  <c r="BK12" i="7" s="1"/>
  <c r="CH12" i="7" s="1"/>
  <c r="AB11" i="7"/>
  <c r="BK11" i="7" s="1"/>
  <c r="Z16" i="7"/>
  <c r="BI16" i="7" s="1"/>
  <c r="Z15" i="7"/>
  <c r="BI15" i="7" s="1"/>
  <c r="Z11" i="7"/>
  <c r="BI11" i="7" s="1"/>
  <c r="X12" i="7"/>
  <c r="BG12" i="7" s="1"/>
  <c r="CF12" i="7" s="1"/>
  <c r="X13" i="7"/>
  <c r="BG13" i="7" s="1"/>
  <c r="X14" i="7"/>
  <c r="BG14" i="7" s="1"/>
  <c r="V16" i="7"/>
  <c r="BE16" i="7" s="1"/>
  <c r="V15" i="7"/>
  <c r="BE15" i="7" s="1"/>
  <c r="CE15" i="7" s="1"/>
  <c r="V14" i="7"/>
  <c r="BE14" i="7" s="1"/>
  <c r="V13" i="7"/>
  <c r="BE13" i="7" s="1"/>
  <c r="CE13" i="7" s="1"/>
  <c r="V12" i="7"/>
  <c r="BE12" i="7" s="1"/>
  <c r="CE12" i="7" s="1"/>
  <c r="V11" i="7"/>
  <c r="BE11" i="7" s="1"/>
  <c r="T11" i="7"/>
  <c r="BC11" i="7" s="1"/>
  <c r="T14" i="7"/>
  <c r="BC14" i="7" s="1"/>
  <c r="CD14" i="7" s="1"/>
  <c r="T13" i="7"/>
  <c r="BC13" i="7" s="1"/>
  <c r="CD13" i="7" s="1"/>
  <c r="T12" i="7"/>
  <c r="BC12" i="7" s="1"/>
  <c r="BA12" i="7"/>
  <c r="CC12" i="7" s="1"/>
  <c r="R14" i="7"/>
  <c r="BA14" i="7" s="1"/>
  <c r="R15" i="7"/>
  <c r="BA15" i="7" s="1"/>
  <c r="CC15" i="7" s="1"/>
  <c r="R16" i="7"/>
  <c r="BA16" i="7" s="1"/>
  <c r="R11" i="7"/>
  <c r="N13" i="7"/>
  <c r="AW13" i="7" s="1"/>
  <c r="CA13" i="7" s="1"/>
  <c r="N11" i="7"/>
  <c r="L15" i="7"/>
  <c r="AU15" i="7" s="1"/>
  <c r="BZ15" i="7" s="1"/>
  <c r="L16" i="7"/>
  <c r="AU16" i="7" s="1"/>
  <c r="L12" i="7"/>
  <c r="AU12" i="7" s="1"/>
  <c r="BZ12" i="7" s="1"/>
  <c r="L11" i="7"/>
  <c r="H13" i="7"/>
  <c r="AQ13" i="7" s="1"/>
  <c r="BX13" i="7" s="1"/>
  <c r="H14" i="7"/>
  <c r="AQ14" i="7" s="1"/>
  <c r="BX14" i="7" s="1"/>
  <c r="H15" i="7"/>
  <c r="AQ15" i="7" s="1"/>
  <c r="BX15" i="7" s="1"/>
  <c r="H11" i="7"/>
  <c r="F15" i="7"/>
  <c r="AO15" i="7" s="1"/>
  <c r="BW15" i="7" s="1"/>
  <c r="F14" i="7"/>
  <c r="AO14" i="7" s="1"/>
  <c r="BW14" i="7" s="1"/>
  <c r="F11" i="7"/>
  <c r="D14" i="7"/>
  <c r="AM14" i="7" s="1"/>
  <c r="D15" i="7"/>
  <c r="AM15" i="7" s="1"/>
  <c r="BV15" i="7" s="1"/>
  <c r="D11" i="7"/>
  <c r="Z7" i="7"/>
  <c r="BI7" i="7" s="1"/>
  <c r="CG7" i="7" s="1"/>
  <c r="Z4" i="7"/>
  <c r="BI4" i="7" s="1"/>
  <c r="Z5" i="7"/>
  <c r="BI5" i="7" s="1"/>
  <c r="X5" i="7"/>
  <c r="BG5" i="7" s="1"/>
  <c r="V7" i="7"/>
  <c r="BE7" i="7" s="1"/>
  <c r="V3" i="7"/>
  <c r="BE3" i="7" s="1"/>
  <c r="V4" i="7"/>
  <c r="BE4" i="7" s="1"/>
  <c r="CE4" i="7" s="1"/>
  <c r="BE6" i="7"/>
  <c r="BE5" i="7"/>
  <c r="R5" i="7"/>
  <c r="BA5" i="7" s="1"/>
  <c r="R4" i="7"/>
  <c r="BA4" i="7" s="1"/>
  <c r="P4" i="7"/>
  <c r="AY4" i="7" s="1"/>
  <c r="P3" i="7"/>
  <c r="N5" i="7"/>
  <c r="AW5" i="7" s="1"/>
  <c r="N4" i="7"/>
  <c r="AW4" i="7" s="1"/>
  <c r="L5" i="7"/>
  <c r="AU5" i="7" s="1"/>
  <c r="L7" i="7"/>
  <c r="AU7" i="7" s="1"/>
  <c r="L6" i="7"/>
  <c r="AU6" i="7" s="1"/>
  <c r="D5" i="7"/>
  <c r="AM5" i="7" s="1"/>
  <c r="CC42" i="7" l="1"/>
  <c r="CD73" i="7"/>
  <c r="CH52" i="7"/>
  <c r="CD33" i="7"/>
  <c r="CF13" i="7"/>
  <c r="DK13" i="7"/>
  <c r="CE73" i="7"/>
  <c r="BV36" i="7"/>
  <c r="BV42" i="7" s="1"/>
  <c r="DA39" i="7"/>
  <c r="CC62" i="7"/>
  <c r="CG4" i="7"/>
  <c r="DL4" i="7"/>
  <c r="CH14" i="7"/>
  <c r="DM13" i="7"/>
  <c r="CK23" i="7"/>
  <c r="DP20" i="7"/>
  <c r="CG5" i="7"/>
  <c r="DL5" i="7"/>
  <c r="CE33" i="7"/>
  <c r="DH55" i="7"/>
  <c r="CH11" i="7"/>
  <c r="DM11" i="7"/>
  <c r="CH15" i="7"/>
  <c r="DM16" i="7"/>
  <c r="DM15" i="7"/>
  <c r="CK22" i="7"/>
  <c r="DP21" i="7"/>
  <c r="CG16" i="7"/>
  <c r="DL16" i="7"/>
  <c r="CG52" i="7"/>
  <c r="CG15" i="7"/>
  <c r="DL15" i="7"/>
  <c r="CG11" i="7"/>
  <c r="DL11" i="7"/>
  <c r="CJ20" i="7"/>
  <c r="CJ24" i="7" s="1"/>
  <c r="DO21" i="7"/>
  <c r="CB55" i="7"/>
  <c r="CB62" i="7" s="1"/>
  <c r="DG55" i="7"/>
  <c r="CA55" i="7"/>
  <c r="CA62" i="7" s="1"/>
  <c r="DF60" i="7"/>
  <c r="CI20" i="7"/>
  <c r="CI24" i="7" s="1"/>
  <c r="DN21" i="7"/>
  <c r="CF5" i="7"/>
  <c r="CF8" i="7" s="1"/>
  <c r="DK5" i="7"/>
  <c r="BW91" i="7"/>
  <c r="DB86" i="7"/>
  <c r="DB91" i="7" s="1"/>
  <c r="CC65" i="7"/>
  <c r="CC73" i="7" s="1"/>
  <c r="DH70" i="7"/>
  <c r="BZ55" i="7"/>
  <c r="BZ62" i="7" s="1"/>
  <c r="DE60" i="7"/>
  <c r="CH20" i="7"/>
  <c r="CH24" i="7" s="1"/>
  <c r="DM21" i="7"/>
  <c r="CG20" i="7"/>
  <c r="CG24" i="7" s="1"/>
  <c r="DL20" i="7"/>
  <c r="CF14" i="7"/>
  <c r="DK16" i="7"/>
  <c r="CE16" i="7"/>
  <c r="DJ16" i="7"/>
  <c r="CF21" i="7"/>
  <c r="DK21" i="7"/>
  <c r="CD52" i="7"/>
  <c r="CB65" i="7"/>
  <c r="CB73" i="7" s="1"/>
  <c r="DG71" i="7"/>
  <c r="CF20" i="7"/>
  <c r="DK20" i="7"/>
  <c r="CE14" i="7"/>
  <c r="DJ13" i="7"/>
  <c r="CE11" i="7"/>
  <c r="DJ11" i="7"/>
  <c r="CE20" i="7"/>
  <c r="DJ21" i="7"/>
  <c r="CD11" i="7"/>
  <c r="DI11" i="7"/>
  <c r="CD12" i="7"/>
  <c r="DI12" i="7"/>
  <c r="CD20" i="7"/>
  <c r="CD24" i="7" s="1"/>
  <c r="DI21" i="7"/>
  <c r="CA65" i="7"/>
  <c r="CA73" i="7" s="1"/>
  <c r="DF66" i="7"/>
  <c r="CB36" i="7"/>
  <c r="CB42" i="7" s="1"/>
  <c r="DG41" i="7"/>
  <c r="CC45" i="7"/>
  <c r="CC52" i="7" s="1"/>
  <c r="DH48" i="7"/>
  <c r="CE7" i="7"/>
  <c r="DJ4" i="7"/>
  <c r="CC14" i="7"/>
  <c r="DH14" i="7"/>
  <c r="CE3" i="7"/>
  <c r="DJ3" i="7"/>
  <c r="CE6" i="7"/>
  <c r="DJ6" i="7"/>
  <c r="CC16" i="7"/>
  <c r="DH13" i="7"/>
  <c r="BV91" i="7"/>
  <c r="DA86" i="7"/>
  <c r="DA91" i="7" s="1"/>
  <c r="CE5" i="7"/>
  <c r="DJ5" i="7"/>
  <c r="BZ65" i="7"/>
  <c r="BZ73" i="7" s="1"/>
  <c r="DE68" i="7"/>
  <c r="CB45" i="7"/>
  <c r="CB52" i="7" s="1"/>
  <c r="DG51" i="7"/>
  <c r="DG50" i="7"/>
  <c r="CA36" i="7"/>
  <c r="CA42" i="7" s="1"/>
  <c r="DF41" i="7"/>
  <c r="CC5" i="7"/>
  <c r="DH5" i="7"/>
  <c r="BX55" i="7"/>
  <c r="BX62" i="7" s="1"/>
  <c r="DC61" i="7"/>
  <c r="CC4" i="7"/>
  <c r="DH4" i="7"/>
  <c r="BZ45" i="7"/>
  <c r="BZ52" i="7" s="1"/>
  <c r="DE50" i="7"/>
  <c r="BX65" i="7"/>
  <c r="BX73" i="7" s="1"/>
  <c r="DC67" i="7"/>
  <c r="BY36" i="7"/>
  <c r="BY42" i="7" s="1"/>
  <c r="DD41" i="7"/>
  <c r="BZ16" i="7"/>
  <c r="DE16" i="7"/>
  <c r="CB4" i="7"/>
  <c r="DG4" i="7"/>
  <c r="BW65" i="7"/>
  <c r="BW73" i="7" s="1"/>
  <c r="DB70" i="7"/>
  <c r="BX36" i="7"/>
  <c r="BX42" i="7" s="1"/>
  <c r="DC41" i="7"/>
  <c r="BY45" i="7"/>
  <c r="BY52" i="7" s="1"/>
  <c r="DD48" i="7"/>
  <c r="CA5" i="7"/>
  <c r="DF5" i="7"/>
  <c r="BW55" i="7"/>
  <c r="BW62" i="7" s="1"/>
  <c r="DB58" i="7"/>
  <c r="CA4" i="7"/>
  <c r="DF4" i="7"/>
  <c r="BZ5" i="7"/>
  <c r="DE5" i="7"/>
  <c r="BZ7" i="7"/>
  <c r="DE7" i="7"/>
  <c r="BV21" i="7"/>
  <c r="DA22" i="7"/>
  <c r="BZ6" i="7"/>
  <c r="DE6" i="7"/>
  <c r="BV62" i="7"/>
  <c r="BV65" i="7"/>
  <c r="BV73" i="7" s="1"/>
  <c r="DA66" i="7"/>
  <c r="BV5" i="7"/>
  <c r="BV8" i="7" s="1"/>
  <c r="DA5" i="7"/>
  <c r="BV32" i="7"/>
  <c r="DA29" i="7"/>
  <c r="BV30" i="7"/>
  <c r="BV29" i="7"/>
  <c r="DA28" i="7"/>
  <c r="BW36" i="7"/>
  <c r="BW42" i="7" s="1"/>
  <c r="DB36" i="7"/>
  <c r="BW45" i="7"/>
  <c r="BW52" i="7" s="1"/>
  <c r="DB45" i="7"/>
  <c r="BV14" i="7"/>
  <c r="DA14" i="7"/>
  <c r="BV45" i="7"/>
  <c r="BV52" i="7" s="1"/>
  <c r="DA48" i="7"/>
  <c r="DF52" i="7"/>
  <c r="DI52" i="7"/>
  <c r="AM11" i="7"/>
  <c r="BA11" i="7"/>
  <c r="BA20" i="7"/>
  <c r="DL52" i="7"/>
  <c r="AO27" i="7"/>
  <c r="AW27" i="7"/>
  <c r="DJ33" i="7"/>
  <c r="DQ77" i="7"/>
  <c r="DA83" i="7"/>
  <c r="CZ83" i="7" s="1"/>
  <c r="AU11" i="7"/>
  <c r="AQ20" i="7"/>
  <c r="BA27" i="7"/>
  <c r="DA62" i="7"/>
  <c r="DD24" i="7"/>
  <c r="AM20" i="7"/>
  <c r="AM27" i="7"/>
  <c r="BV27" i="7" s="1"/>
  <c r="AQ27" i="7"/>
  <c r="DE42" i="7"/>
  <c r="DC52" i="7"/>
  <c r="DI73" i="7"/>
  <c r="DD62" i="7"/>
  <c r="AY3" i="7"/>
  <c r="AO11" i="7"/>
  <c r="AU20" i="7"/>
  <c r="DJ73" i="7"/>
  <c r="DJ42" i="7"/>
  <c r="DM52" i="7"/>
  <c r="DI42" i="7"/>
  <c r="DG17" i="7"/>
  <c r="DI33" i="7"/>
  <c r="AQ11" i="7"/>
  <c r="AW11" i="7"/>
  <c r="AO20" i="7"/>
  <c r="AW20" i="7"/>
  <c r="AY27" i="7"/>
  <c r="DD73" i="7"/>
  <c r="DL42" i="7"/>
  <c r="DK42" i="7"/>
  <c r="DE33" i="7"/>
  <c r="AY20" i="7"/>
  <c r="AS27" i="7"/>
  <c r="DJ52" i="7"/>
  <c r="DK52" i="7"/>
  <c r="CL83" i="7"/>
  <c r="CX83" i="7" s="1"/>
  <c r="CG17" i="7"/>
  <c r="CE24" i="7"/>
  <c r="B31" i="6"/>
  <c r="B117" i="4"/>
  <c r="B100" i="4"/>
  <c r="B83" i="4"/>
  <c r="B66" i="4"/>
  <c r="B49" i="4"/>
  <c r="B32" i="4"/>
  <c r="B28" i="4"/>
  <c r="B27" i="4"/>
  <c r="B26" i="4"/>
  <c r="B25" i="4"/>
  <c r="B24" i="4"/>
  <c r="B23" i="4"/>
  <c r="CA8" i="7" l="1"/>
  <c r="CK24" i="7"/>
  <c r="CH17" i="7"/>
  <c r="CD8" i="7"/>
  <c r="CG8" i="7"/>
  <c r="CF17" i="7"/>
  <c r="DA27" i="7"/>
  <c r="CL91" i="7"/>
  <c r="CC27" i="7"/>
  <c r="CC33" i="7" s="1"/>
  <c r="DH27" i="7"/>
  <c r="CF24" i="7"/>
  <c r="CB27" i="7"/>
  <c r="CB33" i="7" s="1"/>
  <c r="DG31" i="7"/>
  <c r="CE17" i="7"/>
  <c r="CD17" i="7"/>
  <c r="CC20" i="7"/>
  <c r="CC24" i="7" s="1"/>
  <c r="DH21" i="7"/>
  <c r="CE8" i="7"/>
  <c r="CB20" i="7"/>
  <c r="CB24" i="7" s="1"/>
  <c r="DG21" i="7"/>
  <c r="CA20" i="7"/>
  <c r="CA24" i="7" s="1"/>
  <c r="DF21" i="7"/>
  <c r="CA27" i="7"/>
  <c r="CA33" i="7" s="1"/>
  <c r="DF31" i="7"/>
  <c r="BZ20" i="7"/>
  <c r="BZ24" i="7" s="1"/>
  <c r="DE21" i="7"/>
  <c r="CC11" i="7"/>
  <c r="CC17" i="7" s="1"/>
  <c r="DH16" i="7"/>
  <c r="DH15" i="7"/>
  <c r="CC8" i="7"/>
  <c r="CL52" i="7"/>
  <c r="CX52" i="7" s="1"/>
  <c r="H97" i="10" s="1"/>
  <c r="CA11" i="7"/>
  <c r="DF14" i="7"/>
  <c r="BX20" i="7"/>
  <c r="BX24" i="7" s="1"/>
  <c r="DC21" i="7"/>
  <c r="BY27" i="7"/>
  <c r="BY33" i="7" s="1"/>
  <c r="DD28" i="7"/>
  <c r="CB3" i="7"/>
  <c r="CB8" i="7" s="1"/>
  <c r="DG3" i="7"/>
  <c r="BW20" i="7"/>
  <c r="BW24" i="7" s="1"/>
  <c r="DB20" i="7"/>
  <c r="BZ11" i="7"/>
  <c r="BZ17" i="7" s="1"/>
  <c r="DE15" i="7"/>
  <c r="BX27" i="7"/>
  <c r="BX33" i="7" s="1"/>
  <c r="DC31" i="7"/>
  <c r="BZ8" i="7"/>
  <c r="CL62" i="7"/>
  <c r="CX62" i="7" s="1"/>
  <c r="BV20" i="7"/>
  <c r="BV24" i="7" s="1"/>
  <c r="DA20" i="7"/>
  <c r="BW27" i="7"/>
  <c r="DB32" i="7"/>
  <c r="BX11" i="7"/>
  <c r="BX17" i="7" s="1"/>
  <c r="DC15" i="7"/>
  <c r="BW11" i="7"/>
  <c r="BW17" i="7" s="1"/>
  <c r="DB15" i="7"/>
  <c r="BV11" i="7"/>
  <c r="BV17" i="7" s="1"/>
  <c r="DA15" i="7"/>
  <c r="CZ91" i="7"/>
  <c r="DN92" i="7" s="1"/>
  <c r="DF84" i="7"/>
  <c r="DN84" i="7"/>
  <c r="DG84" i="7"/>
  <c r="DO84" i="7"/>
  <c r="DH84" i="7"/>
  <c r="DP84" i="7"/>
  <c r="DI84" i="7"/>
  <c r="DA84" i="7"/>
  <c r="DB84" i="7"/>
  <c r="DJ84" i="7"/>
  <c r="DM84" i="7"/>
  <c r="DC84" i="7"/>
  <c r="DK84" i="7"/>
  <c r="DE84" i="7"/>
  <c r="DD84" i="7"/>
  <c r="DL84" i="7"/>
  <c r="CL42" i="7"/>
  <c r="CX42" i="7" s="1"/>
  <c r="H83" i="10" s="1"/>
  <c r="CL73" i="7"/>
  <c r="CX73" i="7" s="1"/>
  <c r="DF73" i="7"/>
  <c r="DQ67" i="7"/>
  <c r="DM24" i="7"/>
  <c r="DL8" i="7"/>
  <c r="DQ57" i="7"/>
  <c r="DQ50" i="7"/>
  <c r="DQ70" i="7"/>
  <c r="DP24" i="7"/>
  <c r="DK8" i="7"/>
  <c r="DQ86" i="7"/>
  <c r="DQ48" i="7"/>
  <c r="DQ61" i="7"/>
  <c r="DJ8" i="7"/>
  <c r="DQ59" i="7"/>
  <c r="DQ60" i="7"/>
  <c r="DQ56" i="7"/>
  <c r="DQ58" i="7"/>
  <c r="DQ68" i="7"/>
  <c r="DQ41" i="7"/>
  <c r="DO24" i="7"/>
  <c r="DB73" i="7"/>
  <c r="DQ51" i="7"/>
  <c r="DA73" i="7"/>
  <c r="DQ65" i="7"/>
  <c r="DQ36" i="7"/>
  <c r="DA42" i="7"/>
  <c r="DH52" i="7"/>
  <c r="DJ17" i="7"/>
  <c r="DM17" i="7"/>
  <c r="DH8" i="7"/>
  <c r="DB52" i="7"/>
  <c r="DF62" i="7"/>
  <c r="DH42" i="7"/>
  <c r="DA52" i="7"/>
  <c r="DQ45" i="7"/>
  <c r="DQ46" i="7"/>
  <c r="DQ69" i="7"/>
  <c r="DD52" i="7"/>
  <c r="DQ6" i="7"/>
  <c r="DQ5" i="7"/>
  <c r="DQ4" i="7"/>
  <c r="DQ7" i="7"/>
  <c r="DA8" i="7"/>
  <c r="DQ37" i="7"/>
  <c r="DL24" i="7"/>
  <c r="DC73" i="7"/>
  <c r="DE73" i="7"/>
  <c r="DC42" i="7"/>
  <c r="DK24" i="7"/>
  <c r="DF8" i="7"/>
  <c r="DI17" i="7"/>
  <c r="DQ39" i="7"/>
  <c r="DQ72" i="7"/>
  <c r="DG52" i="7"/>
  <c r="DE52" i="7"/>
  <c r="DG73" i="7"/>
  <c r="DC62" i="7"/>
  <c r="DE62" i="7"/>
  <c r="DQ55" i="7"/>
  <c r="DN24" i="7"/>
  <c r="DI24" i="7"/>
  <c r="DE8" i="7"/>
  <c r="DQ40" i="7"/>
  <c r="DQ71" i="7"/>
  <c r="DL17" i="7"/>
  <c r="DH62" i="7"/>
  <c r="BV33" i="7"/>
  <c r="CA17" i="7"/>
  <c r="DQ47" i="7"/>
  <c r="BW33" i="7"/>
  <c r="DG42" i="7"/>
  <c r="DQ49" i="7"/>
  <c r="DH73" i="7"/>
  <c r="DQ66" i="7"/>
  <c r="DJ24" i="7"/>
  <c r="DF42" i="7"/>
  <c r="DK17" i="7"/>
  <c r="DB42" i="7"/>
  <c r="DQ38" i="7"/>
  <c r="DG62" i="7"/>
  <c r="DD42" i="7"/>
  <c r="DB62" i="7"/>
  <c r="CY83" i="7"/>
  <c r="CX91" i="7" l="1"/>
  <c r="H139" i="10"/>
  <c r="H140" i="10"/>
  <c r="H112" i="10"/>
  <c r="H111" i="10"/>
  <c r="H125" i="10"/>
  <c r="H126" i="10"/>
  <c r="H137" i="10"/>
  <c r="H138" i="10"/>
  <c r="CY91" i="7"/>
  <c r="G159" i="10" s="1"/>
  <c r="CL8" i="7"/>
  <c r="CY52" i="7"/>
  <c r="G95" i="10" s="1"/>
  <c r="I95" i="10" s="1"/>
  <c r="CY62" i="7"/>
  <c r="G118" i="10" s="1"/>
  <c r="H109" i="10"/>
  <c r="H110" i="10"/>
  <c r="H123" i="10"/>
  <c r="H124" i="10"/>
  <c r="H81" i="10"/>
  <c r="H82" i="10"/>
  <c r="H95" i="10"/>
  <c r="H96" i="10"/>
  <c r="DR84" i="7"/>
  <c r="CZ62" i="7"/>
  <c r="DG63" i="7" s="1"/>
  <c r="DC92" i="7"/>
  <c r="DE92" i="7"/>
  <c r="DJ92" i="7"/>
  <c r="DI92" i="7"/>
  <c r="CZ73" i="7"/>
  <c r="DH74" i="7" s="1"/>
  <c r="CZ52" i="7"/>
  <c r="DM53" i="7" s="1"/>
  <c r="DH92" i="7"/>
  <c r="DM92" i="7"/>
  <c r="DL92" i="7"/>
  <c r="DO92" i="7"/>
  <c r="DK92" i="7"/>
  <c r="DF92" i="7"/>
  <c r="DD92" i="7"/>
  <c r="DP92" i="7"/>
  <c r="DB92" i="7"/>
  <c r="DG92" i="7"/>
  <c r="DA92" i="7"/>
  <c r="CZ42" i="7"/>
  <c r="DE43" i="7" s="1"/>
  <c r="CY42" i="7"/>
  <c r="G83" i="10" s="1"/>
  <c r="I83" i="10" s="1"/>
  <c r="CY73" i="7"/>
  <c r="G123" i="10" s="1"/>
  <c r="I123" i="10" s="1"/>
  <c r="CL17" i="7"/>
  <c r="CX17" i="7" s="1"/>
  <c r="H41" i="10" s="1"/>
  <c r="DR55" i="7"/>
  <c r="CL33" i="7"/>
  <c r="CX33" i="7" s="1"/>
  <c r="DG24" i="7"/>
  <c r="CL24" i="7"/>
  <c r="DH24" i="7"/>
  <c r="DC17" i="7"/>
  <c r="DQ22" i="7"/>
  <c r="DE24" i="7"/>
  <c r="DQ28" i="7"/>
  <c r="DD33" i="7"/>
  <c r="DQ27" i="7"/>
  <c r="DA33" i="7"/>
  <c r="DG8" i="7"/>
  <c r="CZ8" i="7" s="1"/>
  <c r="DQ15" i="7"/>
  <c r="DQ20" i="7"/>
  <c r="DA24" i="7"/>
  <c r="DE17" i="7"/>
  <c r="DC33" i="7"/>
  <c r="DQ29" i="7"/>
  <c r="DF24" i="7"/>
  <c r="DH33" i="7"/>
  <c r="DQ12" i="7"/>
  <c r="DQ23" i="7"/>
  <c r="DF33" i="7"/>
  <c r="DB24" i="7"/>
  <c r="DC24" i="7"/>
  <c r="DQ30" i="7"/>
  <c r="DH17" i="7"/>
  <c r="DQ16" i="7"/>
  <c r="DQ21" i="7"/>
  <c r="DB17" i="7"/>
  <c r="DQ31" i="7"/>
  <c r="DQ14" i="7"/>
  <c r="DB33" i="7"/>
  <c r="DQ32" i="7"/>
  <c r="DF17" i="7"/>
  <c r="DQ13" i="7"/>
  <c r="DG33" i="7"/>
  <c r="DQ11" i="7"/>
  <c r="DA17" i="7"/>
  <c r="DR36" i="7"/>
  <c r="DR65" i="7"/>
  <c r="DQ3" i="7"/>
  <c r="DR3" i="7" s="1"/>
  <c r="D8" i="12" s="1"/>
  <c r="DR45" i="7"/>
  <c r="D43" i="12" s="1"/>
  <c r="G140" i="10"/>
  <c r="I140" i="10" s="1"/>
  <c r="G139" i="10"/>
  <c r="I139" i="10" s="1"/>
  <c r="G146" i="10"/>
  <c r="G138" i="10"/>
  <c r="I138" i="10" s="1"/>
  <c r="G145" i="10"/>
  <c r="G137" i="10"/>
  <c r="I137" i="10" s="1"/>
  <c r="G143" i="10"/>
  <c r="I143" i="10" s="1"/>
  <c r="G142" i="10"/>
  <c r="I142" i="10" s="1"/>
  <c r="G141" i="10"/>
  <c r="I141" i="10" s="1"/>
  <c r="H151" i="10" l="1"/>
  <c r="H153" i="10"/>
  <c r="H152" i="10"/>
  <c r="CY24" i="7"/>
  <c r="G59" i="10" s="1"/>
  <c r="I59" i="10" s="1"/>
  <c r="CX24" i="7"/>
  <c r="CY8" i="7"/>
  <c r="G28" i="10" s="1"/>
  <c r="I28" i="10" s="1"/>
  <c r="CX8" i="7"/>
  <c r="H69" i="10"/>
  <c r="H70" i="10"/>
  <c r="G151" i="10"/>
  <c r="I151" i="10" s="1"/>
  <c r="G144" i="10"/>
  <c r="G158" i="10"/>
  <c r="G154" i="10"/>
  <c r="I154" i="10" s="1"/>
  <c r="G153" i="10"/>
  <c r="I153" i="10" s="1"/>
  <c r="G152" i="10"/>
  <c r="I152" i="10" s="1"/>
  <c r="G160" i="10"/>
  <c r="G157" i="10"/>
  <c r="I157" i="10" s="1"/>
  <c r="G155" i="10"/>
  <c r="I155" i="10" s="1"/>
  <c r="G156" i="10"/>
  <c r="I156" i="10" s="1"/>
  <c r="DR92" i="7"/>
  <c r="D73" i="12" s="1"/>
  <c r="G96" i="10"/>
  <c r="I96" i="10" s="1"/>
  <c r="G104" i="10"/>
  <c r="G97" i="10"/>
  <c r="I97" i="10" s="1"/>
  <c r="G100" i="10"/>
  <c r="I100" i="10" s="1"/>
  <c r="G102" i="10"/>
  <c r="G98" i="10"/>
  <c r="I98" i="10" s="1"/>
  <c r="G117" i="10"/>
  <c r="G103" i="10"/>
  <c r="G99" i="10"/>
  <c r="I99" i="10" s="1"/>
  <c r="G101" i="10"/>
  <c r="I101" i="10" s="1"/>
  <c r="G109" i="10"/>
  <c r="I109" i="10" s="1"/>
  <c r="G111" i="10"/>
  <c r="I111" i="10" s="1"/>
  <c r="G116" i="10"/>
  <c r="G115" i="10"/>
  <c r="I115" i="10" s="1"/>
  <c r="G112" i="10"/>
  <c r="I112" i="10" s="1"/>
  <c r="G113" i="10"/>
  <c r="I113" i="10" s="1"/>
  <c r="G114" i="10"/>
  <c r="I114" i="10" s="1"/>
  <c r="G110" i="10"/>
  <c r="I110" i="10" s="1"/>
  <c r="D50" i="12"/>
  <c r="C50" i="12"/>
  <c r="E50" i="12" s="1"/>
  <c r="D57" i="12"/>
  <c r="C57" i="12"/>
  <c r="E57" i="12" s="1"/>
  <c r="D66" i="12"/>
  <c r="C66" i="12"/>
  <c r="E66" i="12" s="1"/>
  <c r="C8" i="12"/>
  <c r="E8" i="12" s="1"/>
  <c r="H67" i="10"/>
  <c r="H68" i="10"/>
  <c r="D36" i="12"/>
  <c r="C36" i="12"/>
  <c r="E36" i="12" s="1"/>
  <c r="C43" i="12"/>
  <c r="E43" i="12" s="1"/>
  <c r="H39" i="10"/>
  <c r="H40" i="10"/>
  <c r="DH63" i="7"/>
  <c r="DK63" i="7"/>
  <c r="DC63" i="7"/>
  <c r="DJ63" i="7"/>
  <c r="DA63" i="7"/>
  <c r="DI63" i="7"/>
  <c r="DM63" i="7"/>
  <c r="DN63" i="7"/>
  <c r="DE63" i="7"/>
  <c r="DF63" i="7"/>
  <c r="DO63" i="7"/>
  <c r="DL63" i="7"/>
  <c r="DB63" i="7"/>
  <c r="DP63" i="7"/>
  <c r="DD63" i="7"/>
  <c r="G130" i="10"/>
  <c r="G124" i="10"/>
  <c r="I124" i="10" s="1"/>
  <c r="DH53" i="7"/>
  <c r="DE74" i="7"/>
  <c r="DO74" i="7"/>
  <c r="DB53" i="7"/>
  <c r="DL74" i="7"/>
  <c r="DG74" i="7"/>
  <c r="DF53" i="7"/>
  <c r="DC74" i="7"/>
  <c r="DN74" i="7"/>
  <c r="DE53" i="7"/>
  <c r="DJ74" i="7"/>
  <c r="DF74" i="7"/>
  <c r="G131" i="10"/>
  <c r="DJ53" i="7"/>
  <c r="DB74" i="7"/>
  <c r="DC53" i="7"/>
  <c r="DA74" i="7"/>
  <c r="CZ24" i="7"/>
  <c r="DI25" i="7" s="1"/>
  <c r="DI74" i="7"/>
  <c r="DM74" i="7"/>
  <c r="DB9" i="7"/>
  <c r="DN9" i="7"/>
  <c r="DA9" i="7"/>
  <c r="DJ9" i="7"/>
  <c r="DF9" i="7"/>
  <c r="DC9" i="7"/>
  <c r="DO9" i="7"/>
  <c r="DK9" i="7"/>
  <c r="DM9" i="7"/>
  <c r="DI9" i="7"/>
  <c r="DG9" i="7"/>
  <c r="DD9" i="7"/>
  <c r="DP9" i="7"/>
  <c r="DH9" i="7"/>
  <c r="DL9" i="7"/>
  <c r="DE9" i="7"/>
  <c r="CZ33" i="7"/>
  <c r="DN34" i="7" s="1"/>
  <c r="DO53" i="7"/>
  <c r="DL53" i="7"/>
  <c r="DG53" i="7"/>
  <c r="DD53" i="7"/>
  <c r="G128" i="10"/>
  <c r="I128" i="10" s="1"/>
  <c r="DA53" i="7"/>
  <c r="DI53" i="7"/>
  <c r="DD74" i="7"/>
  <c r="DP74" i="7"/>
  <c r="DN53" i="7"/>
  <c r="DK53" i="7"/>
  <c r="DK74" i="7"/>
  <c r="DP53" i="7"/>
  <c r="DK43" i="7"/>
  <c r="G132" i="10"/>
  <c r="CY33" i="7"/>
  <c r="G76" i="10" s="1"/>
  <c r="G87" i="10"/>
  <c r="I87" i="10" s="1"/>
  <c r="G90" i="10"/>
  <c r="G84" i="10"/>
  <c r="I84" i="10" s="1"/>
  <c r="DH43" i="7"/>
  <c r="G86" i="10"/>
  <c r="I86" i="10" s="1"/>
  <c r="DG43" i="7"/>
  <c r="DM43" i="7"/>
  <c r="DO43" i="7"/>
  <c r="DC43" i="7"/>
  <c r="DN43" i="7"/>
  <c r="DJ43" i="7"/>
  <c r="DF43" i="7"/>
  <c r="DB43" i="7"/>
  <c r="DL43" i="7"/>
  <c r="DA43" i="7"/>
  <c r="DD43" i="7"/>
  <c r="DI43" i="7"/>
  <c r="DP43" i="7"/>
  <c r="G88" i="10"/>
  <c r="G81" i="10"/>
  <c r="I81" i="10" s="1"/>
  <c r="G89" i="10"/>
  <c r="G82" i="10"/>
  <c r="I82" i="10" s="1"/>
  <c r="G85" i="10"/>
  <c r="I85" i="10" s="1"/>
  <c r="CZ17" i="7"/>
  <c r="DC18" i="7" s="1"/>
  <c r="G125" i="10"/>
  <c r="I125" i="10" s="1"/>
  <c r="CY17" i="7"/>
  <c r="G43" i="10" s="1"/>
  <c r="I43" i="10" s="1"/>
  <c r="G126" i="10"/>
  <c r="I126" i="10" s="1"/>
  <c r="G129" i="10"/>
  <c r="I129" i="10" s="1"/>
  <c r="G127" i="10"/>
  <c r="I127" i="10" s="1"/>
  <c r="DR11" i="7"/>
  <c r="DR20" i="7"/>
  <c r="DR27" i="7"/>
  <c r="G61" i="10" l="1"/>
  <c r="G56" i="10"/>
  <c r="I56" i="10" s="1"/>
  <c r="G60" i="10"/>
  <c r="G57" i="10"/>
  <c r="I57" i="10" s="1"/>
  <c r="G62" i="10"/>
  <c r="G58" i="10"/>
  <c r="I58" i="10" s="1"/>
  <c r="G54" i="10"/>
  <c r="I54" i="10" s="1"/>
  <c r="G53" i="10"/>
  <c r="I53" i="10" s="1"/>
  <c r="G55" i="10"/>
  <c r="I55" i="10" s="1"/>
  <c r="G31" i="10"/>
  <c r="I31" i="10" s="1"/>
  <c r="G32" i="10"/>
  <c r="G26" i="10"/>
  <c r="I26" i="10" s="1"/>
  <c r="G34" i="10"/>
  <c r="G29" i="10"/>
  <c r="I29" i="10" s="1"/>
  <c r="G25" i="10"/>
  <c r="I25" i="10" s="1"/>
  <c r="G27" i="10"/>
  <c r="I27" i="10" s="1"/>
  <c r="G30" i="10"/>
  <c r="I30" i="10" s="1"/>
  <c r="G33" i="10"/>
  <c r="H26" i="10"/>
  <c r="H28" i="10"/>
  <c r="H27" i="10"/>
  <c r="H56" i="10"/>
  <c r="H55" i="10"/>
  <c r="C73" i="12"/>
  <c r="E73" i="12" s="1"/>
  <c r="H25" i="10"/>
  <c r="D22" i="12"/>
  <c r="C22" i="12"/>
  <c r="E22" i="12" s="1"/>
  <c r="H53" i="10"/>
  <c r="H54" i="10"/>
  <c r="D29" i="12"/>
  <c r="C29" i="12"/>
  <c r="E29" i="12" s="1"/>
  <c r="D15" i="12"/>
  <c r="C15" i="12"/>
  <c r="E15" i="12" s="1"/>
  <c r="DR63" i="7"/>
  <c r="DP34" i="7"/>
  <c r="DE34" i="7"/>
  <c r="DE25" i="7"/>
  <c r="DH25" i="7"/>
  <c r="G74" i="10"/>
  <c r="G70" i="10"/>
  <c r="I70" i="10" s="1"/>
  <c r="DA25" i="7"/>
  <c r="DP25" i="7"/>
  <c r="DO25" i="7"/>
  <c r="DM25" i="7"/>
  <c r="DK25" i="7"/>
  <c r="DB25" i="7"/>
  <c r="G71" i="10"/>
  <c r="I71" i="10" s="1"/>
  <c r="DA34" i="7"/>
  <c r="DF34" i="7"/>
  <c r="DD25" i="7"/>
  <c r="DF25" i="7"/>
  <c r="G72" i="10"/>
  <c r="I72" i="10" s="1"/>
  <c r="DI34" i="7"/>
  <c r="DM34" i="7"/>
  <c r="DD34" i="7"/>
  <c r="DL34" i="7"/>
  <c r="DK34" i="7"/>
  <c r="DR53" i="7"/>
  <c r="DR74" i="7"/>
  <c r="DH34" i="7"/>
  <c r="DO34" i="7"/>
  <c r="DC34" i="7"/>
  <c r="DJ34" i="7"/>
  <c r="DG34" i="7"/>
  <c r="DB34" i="7"/>
  <c r="DK18" i="7"/>
  <c r="DR43" i="7"/>
  <c r="DC25" i="7"/>
  <c r="DG25" i="7"/>
  <c r="DJ25" i="7"/>
  <c r="DN25" i="7"/>
  <c r="DL25" i="7"/>
  <c r="DR9" i="7"/>
  <c r="DQ9" i="7"/>
  <c r="G73" i="10"/>
  <c r="I73" i="10" s="1"/>
  <c r="G69" i="10"/>
  <c r="I69" i="10" s="1"/>
  <c r="DP18" i="7"/>
  <c r="DM18" i="7"/>
  <c r="G67" i="10"/>
  <c r="I67" i="10" s="1"/>
  <c r="G75" i="10"/>
  <c r="G68" i="10"/>
  <c r="I68" i="10" s="1"/>
  <c r="DE18" i="7"/>
  <c r="DA18" i="7"/>
  <c r="DL18" i="7"/>
  <c r="DO18" i="7"/>
  <c r="DD18" i="7"/>
  <c r="DH18" i="7"/>
  <c r="DG18" i="7"/>
  <c r="DJ18" i="7"/>
  <c r="DB18" i="7"/>
  <c r="DI18" i="7"/>
  <c r="DN18" i="7"/>
  <c r="DF18" i="7"/>
  <c r="G41" i="10"/>
  <c r="I41" i="10" s="1"/>
  <c r="G47" i="10"/>
  <c r="G40" i="10"/>
  <c r="I40" i="10" s="1"/>
  <c r="G44" i="10"/>
  <c r="I44" i="10" s="1"/>
  <c r="G45" i="10"/>
  <c r="I45" i="10" s="1"/>
  <c r="G46" i="10"/>
  <c r="G39" i="10"/>
  <c r="I39" i="10" s="1"/>
  <c r="G48" i="10"/>
  <c r="G42" i="10"/>
  <c r="I42" i="10" s="1"/>
  <c r="D59" i="12" l="1"/>
  <c r="C59" i="12"/>
  <c r="E59" i="12" s="1"/>
  <c r="D52" i="12"/>
  <c r="C52" i="12"/>
  <c r="E52" i="12" s="1"/>
  <c r="C10" i="12"/>
  <c r="E10" i="12" s="1"/>
  <c r="D38" i="12"/>
  <c r="C38" i="12"/>
  <c r="E38" i="12" s="1"/>
  <c r="D45" i="12"/>
  <c r="C45" i="12"/>
  <c r="E45" i="12" s="1"/>
  <c r="DR34" i="7"/>
  <c r="DR25" i="7"/>
  <c r="DR18" i="7"/>
  <c r="D24" i="12" l="1"/>
  <c r="C24" i="12"/>
  <c r="E24" i="12" s="1"/>
  <c r="D31" i="12"/>
  <c r="C31" i="12"/>
  <c r="E31" i="12" s="1"/>
  <c r="D17" i="12"/>
  <c r="C17" i="12"/>
  <c r="E17" i="12" s="1"/>
</calcChain>
</file>

<file path=xl/sharedStrings.xml><?xml version="1.0" encoding="utf-8"?>
<sst xmlns="http://schemas.openxmlformats.org/spreadsheetml/2006/main" count="1618" uniqueCount="862">
  <si>
    <t>Nivel</t>
  </si>
  <si>
    <t>Descriptor</t>
  </si>
  <si>
    <t>Descripción</t>
  </si>
  <si>
    <t>Raro</t>
  </si>
  <si>
    <t>Puede ocurrir sólo en circunstancias excepcionales durante la ejecución del contrato.</t>
  </si>
  <si>
    <t>Poco Probable</t>
  </si>
  <si>
    <t>Posible</t>
  </si>
  <si>
    <t>Podría ocurrir en algún momento durante la ejecución del contrato.</t>
  </si>
  <si>
    <t>Probable</t>
  </si>
  <si>
    <t>Probablemente ocurrirá en la mayoría de las circunstancias durante la ejecución del contrato.</t>
  </si>
  <si>
    <t>Casi cierta</t>
  </si>
  <si>
    <t>Se espera que ocurra en la mayoría de las circunstancias durante la ejecución del contrato.</t>
  </si>
  <si>
    <t>Mínimo</t>
  </si>
  <si>
    <t>Menor</t>
  </si>
  <si>
    <t>Moderado</t>
  </si>
  <si>
    <t>Mayor</t>
  </si>
  <si>
    <t>Catastrófico</t>
  </si>
  <si>
    <t>PROBABILIDAD</t>
  </si>
  <si>
    <t>CONSECUENCIA</t>
  </si>
  <si>
    <t>Desde &gt;</t>
  </si>
  <si>
    <t>Hasta &lt;=</t>
  </si>
  <si>
    <t>Es difícil que ocurra durante la ejecución del contrato.</t>
  </si>
  <si>
    <t>Valor del Presupuesto</t>
  </si>
  <si>
    <t>2. Factor de Riesgos Tecnológicos y de Infraestructura Pública</t>
  </si>
  <si>
    <t>3. Factor de Riesgo Actos de Terceros Relacionados y Subcontratos</t>
  </si>
  <si>
    <t>4. Factor de Riesgos Socio-Políticos</t>
  </si>
  <si>
    <t>5. Factor de Riesgos Macroeconómicos</t>
  </si>
  <si>
    <t>6. Factor de Riesgos Actos de la Naturaleza</t>
  </si>
  <si>
    <t>7. Factor de Riesgos Relaciones Laborales</t>
  </si>
  <si>
    <t>8. Factores Riesgos Hechos de las Cosas</t>
  </si>
  <si>
    <t>9. Factor de Riesgos Vicios</t>
  </si>
  <si>
    <t>10. Factor de Riesgos Actos Culposos o Dolosos de Terceros</t>
  </si>
  <si>
    <t xml:space="preserve">11. Otros Factores de Riesgos </t>
  </si>
  <si>
    <t>Items de Presupuesto</t>
  </si>
  <si>
    <t>Probabilidad</t>
  </si>
  <si>
    <t>Consecuencia</t>
  </si>
  <si>
    <t>Riesgo</t>
  </si>
  <si>
    <t>Asignación</t>
  </si>
  <si>
    <t>Proyecto Macro</t>
  </si>
  <si>
    <t>Plazo del contrato</t>
  </si>
  <si>
    <t>Objeto del contrato</t>
  </si>
  <si>
    <t>Presupuesto</t>
  </si>
  <si>
    <t>Tipo de Contrato</t>
  </si>
  <si>
    <t>Sistemas de Pago</t>
  </si>
  <si>
    <t>Valor Total Item</t>
  </si>
  <si>
    <r>
      <t>Contexto Natural:</t>
    </r>
    <r>
      <rPr>
        <sz val="10"/>
        <color theme="1"/>
        <rFont val="Arial"/>
        <family val="2"/>
      </rPr>
      <t xml:space="preserve"> </t>
    </r>
  </si>
  <si>
    <t>¿Son relevantes las condiciones climáticas para la ejecución del contrato?</t>
  </si>
  <si>
    <t xml:space="preserve">¿Cómo son las condiciones de tormentas eléctricas en el lugar de ejecución del contrato? </t>
  </si>
  <si>
    <r>
      <t>Contexto Geomorfológico:</t>
    </r>
    <r>
      <rPr>
        <sz val="10"/>
        <color theme="1"/>
        <rFont val="Arial"/>
        <family val="2"/>
      </rPr>
      <t xml:space="preserve"> </t>
    </r>
  </si>
  <si>
    <t>¿Son relevantes las condiciones geomorfológicas para la ejecución del contrato?</t>
  </si>
  <si>
    <t>¿La zona de ejecución del contrato es propensa a inundaciones, movimientos de masas o incendios forestales?</t>
  </si>
  <si>
    <t xml:space="preserve">¿Son relevantes las condiciones de acceso para la ejecución del contrato? </t>
  </si>
  <si>
    <t>¿Cuál es el estado de las vías de acceso frente a las actividades del contrato que se van a realizar?¿</t>
  </si>
  <si>
    <t>De acuerdo con el alcance y actividades del contrato hay alguna consideración especial que deban tener las vías como ancho de la vía, estado de la capa de rodadura?</t>
  </si>
  <si>
    <t xml:space="preserve">Contexto Macroeconomico: </t>
  </si>
  <si>
    <t>¿Son relevantes las condiciones macroeconómicas para la ejecución del contrato?</t>
  </si>
  <si>
    <t xml:space="preserve">¿Qué tan volátil se encuentra el comportamiento de la tasa representativa del mercado en los últimos 6 meses, es mayor o menor frente a la evidenciada en los últimos 5 años? </t>
  </si>
  <si>
    <t>¿En qué nivel se encuentran las tasas de interés frente a niveles históricos, se encuentra en niveles que promueven el crecimiento de la economía o en niveles que la restringen por riesgos de inflación?¿</t>
  </si>
  <si>
    <t>¿En qué nivel se encuentra el índice de precios al consumidor, está muy por encima de la meta de inflación del Banco de la República, en niveles semejantes o inferiores?</t>
  </si>
  <si>
    <t>Contexto Socio-Político y de Orden Público</t>
  </si>
  <si>
    <t xml:space="preserve">¿Son relevantes las condiciones demográficas y sociales para la ejecución del contrato? </t>
  </si>
  <si>
    <t xml:space="preserve">¿Es una zona con alto nivel de actividad económica e ingreso per-cápita o es de bajo nivel? </t>
  </si>
  <si>
    <t>¿Hay alguna característica especial de las actividades económicas que caracterizan la zona que se deban tener en cuenta para la ejecución del contrato?</t>
  </si>
  <si>
    <t>Hay alguna restricción de carácter cultural o religioso que se deba considerar en el lugar de ejecución?</t>
  </si>
  <si>
    <t xml:space="preserve"> ¿Hay alguna restricción de acceso al lugar de ejecución del contrato por algún tipo de jurisdicción especial?</t>
  </si>
  <si>
    <t>¿Qué registros hay de victimización de líderes sociales en la zona?</t>
  </si>
  <si>
    <t xml:space="preserve">¿Hay presencia de grupos étnicos en la zona? </t>
  </si>
  <si>
    <t>Etapas/Fases</t>
  </si>
  <si>
    <t>Etapa</t>
  </si>
  <si>
    <t>Fase</t>
  </si>
  <si>
    <t>Califique el grado de complejidad de las actividades que va a realizar el contratista</t>
  </si>
  <si>
    <t>1 Muy Sencillas</t>
  </si>
  <si>
    <t>2 Sencillas</t>
  </si>
  <si>
    <t>3 Algo complejas</t>
  </si>
  <si>
    <t>4 Complejas</t>
  </si>
  <si>
    <t>5 Muy complejas</t>
  </si>
  <si>
    <t>Califique el grado de experticia que se requiere para la elaboración de las actividades del contratista</t>
  </si>
  <si>
    <t>1 No se requiere experiencia previa</t>
  </si>
  <si>
    <t>2 Se requiere algo de experiencia previa</t>
  </si>
  <si>
    <t>3 Se requiere experiencia pero es común encontrarla</t>
  </si>
  <si>
    <t>4 Se requiere alto grado de experiencia pocas personas o empresas la tienen</t>
  </si>
  <si>
    <t>5 Se requiere elevada experticia muy pocas personas o empresas cuentan con ella</t>
  </si>
  <si>
    <t>Se requeire de algún proceso cuya uso se encuentre restringido por propiedad intelectual o sea confidencial</t>
  </si>
  <si>
    <t xml:space="preserve">Para la realización de las actividades Existen normas técnicas especializadas  aplicables? </t>
  </si>
  <si>
    <t>1 Las actividades no están reguladas por una norma técnica específica.</t>
  </si>
  <si>
    <t>2 Las actividades están regidas y deben cumplir normas técnicas estictamente.</t>
  </si>
  <si>
    <t>Se requiere contar o tramitar licencias o permisos para personas o procesos para realizar las actividades del contrato?</t>
  </si>
  <si>
    <t>2 Se requieren permisos y licencias para la realización de las actividades por parte de autoridad competente que regula la actividad.</t>
  </si>
  <si>
    <t>1 No se requieren licencias y permisos para las personas o para los procesos que se realizarán en el contrato.</t>
  </si>
  <si>
    <t>1 El proceso es de común conocimiento no tiene restricciones de uso.</t>
  </si>
  <si>
    <t>2 El proceso es desarrollo exclusivo del contratista y tiene uso restringido por propiedad intelectual y/o es confidencial.</t>
  </si>
  <si>
    <t>Complejidad de la Actividad</t>
  </si>
  <si>
    <t>Complejidad del recurso humano</t>
  </si>
  <si>
    <t>Se requiere que el contratista contrate personal exclusivo para la ejecución del contrato?</t>
  </si>
  <si>
    <t>1 La planta de personal no se modifica con la suscripción del contrato.</t>
  </si>
  <si>
    <t>2 El contratista deberá vincular personal de dedicación exclusiva para la ejecución del contrato.</t>
  </si>
  <si>
    <t>La ejecución del contrato es intensivo en mano de obra?</t>
  </si>
  <si>
    <t>1 La necesidad de recurso humano para la ejecución del contrato es mínima.</t>
  </si>
  <si>
    <t>2 Se requiere de recurso humano pero su costo es poco representativo para la ejecución del contrato.</t>
  </si>
  <si>
    <t>3 Se requiere de recurso humano y su costo es representativo para la ejecución del contrato.</t>
  </si>
  <si>
    <t>4 El costo de recurso humano es el componente principal de la estructura de costos para la ejecución del contrato.</t>
  </si>
  <si>
    <t xml:space="preserve"> Se requiere de algún conocimiento experto o habilidad que solo tienen algunas pocas personas? </t>
  </si>
  <si>
    <t>1 Los conocimientos o las habilidades requeridos son comunes, muchas personas cuentan con ellos.</t>
  </si>
  <si>
    <t xml:space="preserve"> Se requiere que el personal tenga algún tipo de certificación de algún curso específico para poder ejecutar las labores del contrato?</t>
  </si>
  <si>
    <t>1 No se requieren certificaciones específicas para la ejecución del contrato.</t>
  </si>
  <si>
    <t>2 Se requiere al menos de una acreditación específica para la ejecución del contrato.</t>
  </si>
  <si>
    <t>Complejidad de Actividades de transporte</t>
  </si>
  <si>
    <t>Las actividades de transporte son relevantes para la ejecución de contrato? (Personal maquinaria, equipos, materiales)</t>
  </si>
  <si>
    <t>La ejecución del contrato es intensivo en actividades de transporte?</t>
  </si>
  <si>
    <t>La naturaleza de los medios de transportes es multimodal (Terrestre, fluvial, marítimo, aéreo)? Los recorridos son extensos o cortos?</t>
  </si>
  <si>
    <t>Actividades de Alimentos y Medicamentos</t>
  </si>
  <si>
    <t xml:space="preserve">Son relevantes tales actividades dentro del alcance del contrato? </t>
  </si>
  <si>
    <t>Complejidad por materiales e insumos</t>
  </si>
  <si>
    <t>Los materiales e insumos requeridos para la ejecución del contrato son de amplia disponibilidad?</t>
  </si>
  <si>
    <t xml:space="preserve"> Hay algún material o insumo que sea proveedor exclusivo?</t>
  </si>
  <si>
    <t xml:space="preserve"> Existe alguna restricción legal para acceder a dichos materiales e insumos como explosivos o materiales químicos de uso restringido?</t>
  </si>
  <si>
    <t xml:space="preserve"> Los materiales e insumos son perecederos? Qué tiempo de vida útil tienen? </t>
  </si>
  <si>
    <t>aprovisionamiento de agua</t>
  </si>
  <si>
    <t>energía eléctrica</t>
  </si>
  <si>
    <t>Suministro de gas</t>
  </si>
  <si>
    <t>Telecomunicaciones</t>
  </si>
  <si>
    <t>Conectividad</t>
  </si>
  <si>
    <t>Procesamiento de datos</t>
  </si>
  <si>
    <t>Almacenamiento de datos</t>
  </si>
  <si>
    <t>Servicios de sonido</t>
  </si>
  <si>
    <t>Servicios audiovisuales</t>
  </si>
  <si>
    <t>Servicios de alojamiento</t>
  </si>
  <si>
    <t>Servicios Sanitarios</t>
  </si>
  <si>
    <t>Ensayos de laboratorio</t>
  </si>
  <si>
    <t>Disposición de residuos o escombros</t>
  </si>
  <si>
    <t xml:space="preserve">Qué disponibilidad tienen en el lugar de ejecución del contrato? Que tan relevantes son para el cumplimiento del objeto contractual? </t>
  </si>
  <si>
    <t>Complejidad de direccionamiento y gestión</t>
  </si>
  <si>
    <t xml:space="preserve">estructura de supervisión y gerenciamiento </t>
  </si>
  <si>
    <t xml:space="preserve">Los procesos, metodologías, procedimientos, instructivos son de baja o alta complejidad? </t>
  </si>
  <si>
    <t>Complejidad Máquinas, equipos y vehículos</t>
  </si>
  <si>
    <t>Complejidad actividades de campo</t>
  </si>
  <si>
    <t xml:space="preserve"> El acceso a los lugares para la ejecución de los trabajos de campo por su morfología es alta complejidad como lugares escarpados o pantanosos o son baja complejidad? </t>
  </si>
  <si>
    <t xml:space="preserve">Los lugares a acceder se encuentran concentrados o dispersos? </t>
  </si>
  <si>
    <t>Complejidad obra civil</t>
  </si>
  <si>
    <t xml:space="preserve">Se contemplan actividades de obra civil? </t>
  </si>
  <si>
    <t xml:space="preserve"> El acceso al lugar o los lugares de ejecución de la obra es de alta o baja complejidad?</t>
  </si>
  <si>
    <t>La obra contempla trabajos en altura?</t>
  </si>
  <si>
    <t xml:space="preserve">Contempla actividades de excavación, cimentación o instalación de estructuras elevadas o de elementos de gran tamaño y elevado peso? </t>
  </si>
  <si>
    <t xml:space="preserve">Se deben realizar actividades bajo el agua? </t>
  </si>
  <si>
    <t>2 Se requieren algunas actividades de transporte pero no son relevantes para la ejecución del contrato.</t>
  </si>
  <si>
    <t>1 No se requieren actividades de transporte para la ejecución del contrato.</t>
  </si>
  <si>
    <t>3 Se requieren algunas actividades de transporte y su ejecución es importante para la ejecución del contrato</t>
  </si>
  <si>
    <t>4 Las actividades de transporte son inherentes al cumplimiento del objeto contractual.</t>
  </si>
  <si>
    <t>1 La disponibilidad de transporte es de alta frecuencia y en horarios extendidos.</t>
  </si>
  <si>
    <t>2 La disponibilidad de transporte es frecuente y en horarios limitados.</t>
  </si>
  <si>
    <t>3 La disponibilidad de transporte es escasa y en horarios muy limitados.</t>
  </si>
  <si>
    <t>4 Es necesario contratar servicios exculsivos de transporte</t>
  </si>
  <si>
    <t>1 Se requiere una sola modalidad de transporte</t>
  </si>
  <si>
    <t>4 Se requiere cuatro o más modalidades de transporte</t>
  </si>
  <si>
    <t>3 Se requiere hasta tres modalidades de transporte</t>
  </si>
  <si>
    <t>2 Se requiere hasta dos modalidades de transporte</t>
  </si>
  <si>
    <t>1 Todos los materiales e insumos requeridos son de amplia disponibilidad y accesibilidad.</t>
  </si>
  <si>
    <t>2 La mayoria de los materiales e insumos requeridos son de amplia disponibilidad y accesibilidad.</t>
  </si>
  <si>
    <t>3 Algunos  materiales e insumos son de disponibilidad limitada.</t>
  </si>
  <si>
    <t>4 Una cantidad importante de materiales e insumos son de difícil consecución.</t>
  </si>
  <si>
    <t>1 Hay múltiples fuentes para la consecusión de los materiales e insumos.</t>
  </si>
  <si>
    <t>2 El número de proveedores para la consecusión de los materiales e insumos es limitado.</t>
  </si>
  <si>
    <t>3 El proveedor de algunos materiales e insumos es exclusivo.</t>
  </si>
  <si>
    <t>1 No se requiere recorrer trayectos superiores a 5 kilómetros para el aprovisionamiento de materiales e insumos.</t>
  </si>
  <si>
    <t>2 Se requiere recorrer trayectos entre 5 y 10 kilómetros para la consecusión de materiales e insumos.</t>
  </si>
  <si>
    <t>3 Se requiere recorrer trayectos superiores a 10 kilómetros para la consecusión de materiales e insumos.</t>
  </si>
  <si>
    <t>1 Los materiales e insumos son todos de origen nacional.</t>
  </si>
  <si>
    <t>2 Algunos de los materiales e insumos son importados.</t>
  </si>
  <si>
    <t>3 Los materiales e insumos importados son la mayor porción de los requeridos para la ejecución del contrato.</t>
  </si>
  <si>
    <t>1 No se contemplan materiales e insumos perecederos para la ejecución del contrato.</t>
  </si>
  <si>
    <t xml:space="preserve"> Debe accederse al lugar de ubicación al proveedor para conseguir los materiales?  La localización de dicho proveedor es cercana o lejana?</t>
  </si>
  <si>
    <t xml:space="preserve"> Los materiales e insumos son importados o de procedencia nacional o ambos? En qué proporción?</t>
  </si>
  <si>
    <t>2 Algunos materiales e insumos son perecederos pero no son relevantes para la ejecución del contrato. Sus tiempos de vencimiento son superiores a un año.</t>
  </si>
  <si>
    <t>3 Se requieren materiales e insumos perecederos y constituyen la mayor porción para la ejecución del contrato, pero sus tiempos de vencimiento son superiores a un año.</t>
  </si>
  <si>
    <t>Complejidad de servicios conexos</t>
  </si>
  <si>
    <t xml:space="preserve">Las actividades a realizar requieren de un alto nivel de direccionamiento y control? El personal puede actuar con alto o bajo grado de autonomía? </t>
  </si>
  <si>
    <t xml:space="preserve"> Qué disponibilidad tienen en el lugar de ejecución del contrato? Que tan relevantes son para el cumplimiento del objeto contractual?  Se requieren equipos, máquinas, vehículos especialmente acondicionados para la ejecución del contrato?</t>
  </si>
  <si>
    <t xml:space="preserve">Se van a realizar actividades de campo? Las actividades de campo por su naturaleza son de alto o bajo grado de complejidad? </t>
  </si>
  <si>
    <t>1 El lugar a acceder para la ejecución del contrato es de fácil y rápido acceso.</t>
  </si>
  <si>
    <t>2 El lugar para la ejecución del contrato es de fácil acceso y pero los tiempos para acceder pueden variar.</t>
  </si>
  <si>
    <t>3 El lugar para la ejecución del contrato es de acceso limitado y debe realizarse preparativos previos para poder acceder.</t>
  </si>
  <si>
    <t>4 El acceso al lugar de ejecución del contrato es muy complejo, se requieren medidas especiales y contar con elementos específicos para poder acceder al lugar.</t>
  </si>
  <si>
    <t>2 La obra contempla actividades en 2 niveles.</t>
  </si>
  <si>
    <t>1 La obra contempla actividades a nivel de piso.</t>
  </si>
  <si>
    <t>3 La obra contempla actividades en 3 o más niveles</t>
  </si>
  <si>
    <t>1 La obra no contempla  actividades de excavación, cimentación o instalación de estructuras elevadas o de elementos de gran tamaño y elevado peso.</t>
  </si>
  <si>
    <t>2 La obra contempla  actividades de excavación, cimentación o instalación de estructuras elevadas o de elementos de gran tamaño y elevado peso.</t>
  </si>
  <si>
    <t>1 La obra no contempla actividades bajo el agua.</t>
  </si>
  <si>
    <t>2 La obra contempla actividades bajo el agua.</t>
  </si>
  <si>
    <t>1 Las condiciones climáticas son variables en rangos medios, son extraños eventos climáticos extremos.</t>
  </si>
  <si>
    <t>2 Las condciones climáticas son variables en rangos medios, sin embargo se pueden presentar ocasionalmente condiciones climáticas extremas.</t>
  </si>
  <si>
    <t>¿Cómo son las condiciones climáticas en el lugar de ejecución del contrato? Intensidad de lluvias, ausencia de lluvias, vientos, temperatura.</t>
  </si>
  <si>
    <t>4 Las condiciones climáticas varían en amplios rangos y las condiciones extremas se presentan con mucha frecuencia.</t>
  </si>
  <si>
    <t>1 Las eventos como inundaciones, movimientos de masas o incendios forestales son extraños.</t>
  </si>
  <si>
    <t>2 Las eventos como inundaciones, movimientos de masas o incendios forestales son poco frecuentes.</t>
  </si>
  <si>
    <t>4 Las eventos como inundaciones, movimientos de masas o incendios forestales son muy frecuentes.</t>
  </si>
  <si>
    <t>3 Las eventos como inundaciones, movimientos de masas o incendios forestales son frecuentes.</t>
  </si>
  <si>
    <t>¿Existen vías alternas de acceso al lugar de ejecución del contrato?</t>
  </si>
  <si>
    <t>1 Existen múltiples vías de acceso al lugar de ejecución del contrato.</t>
  </si>
  <si>
    <t>2 Existen algunas alternativas de vias de acceso al lugar de ejecución del contrato.</t>
  </si>
  <si>
    <t>3 Existen a lo sumo dos alternativas de vias de acceso al lugar de ejecución del contrato.</t>
  </si>
  <si>
    <t>4 Existe una única vía de acceso al lugar de ejecución del contrato.</t>
  </si>
  <si>
    <t>2 El estado de vías es bueno, pero tiene limitaciones de movilidad al menos el 50% del tiempo.</t>
  </si>
  <si>
    <t>1 El estado de las vías es bueno, no tiene inconvenientes de transitabilidad.</t>
  </si>
  <si>
    <t>3 Las vías presentan cierto deterioro, pero el tráfico es bajo.</t>
  </si>
  <si>
    <t>4 Las vías presentan deterioro y el tráfico es voluminoso.</t>
  </si>
  <si>
    <t>1 No existen requerimientos especiales para la vía</t>
  </si>
  <si>
    <t>2 La TRM ha variado entre el 1% y el 5% en los  últimos 6 meses.</t>
  </si>
  <si>
    <t>1 La TRM ha variado menos del 1% en los últimos 6 meses.</t>
  </si>
  <si>
    <t>3 La TRM ha variado entre el 5% y el 15% en los últimos 6 meses.</t>
  </si>
  <si>
    <t>4 La TRM ha variado más del 15% en los últimos 6 meses.</t>
  </si>
  <si>
    <t>1 La Tasa de Intervención del Banco de la República ha estado por debajo del 3% en los últimos 6 meses.</t>
  </si>
  <si>
    <t>2 La Tasa de Intervención del Banco de la República ha estado entre el 3% y el 4,5% en los últimos 6 meses.</t>
  </si>
  <si>
    <t>3 La Tasa de Intervención del Banco de la República ha estado entre el 4,5% y el  6% en los últimos 6 meses.</t>
  </si>
  <si>
    <t>4 La Tasa de Intervención del Banco de la República ha estado entre el 6% y el 8% en los últimos 6 meses.</t>
  </si>
  <si>
    <t>5 La Tasa de Intervención del Banco de la República ha estado por encima del 8% en los últimos 6 meses.</t>
  </si>
  <si>
    <t>1 El IPC para los últimos doce meses corridos es menor del 3%.</t>
  </si>
  <si>
    <t>2 El IPC para los últimos doce meses corridos ha estado entre el 3% y el 5%.</t>
  </si>
  <si>
    <t>3 El IPC para los últimos doce meses corridos ha estado entre el 5% y el 8%.</t>
  </si>
  <si>
    <t>4 El IPC para los últimos doce meses corridos ha estado por encima del 8%.</t>
  </si>
  <si>
    <t>1 El valor agregado del municipio es superior a $10 billones.</t>
  </si>
  <si>
    <t>2 El valor agregado del municipio es superior a $1 billón e inferior a $10 billones.</t>
  </si>
  <si>
    <t>3 El valor agregado del municipio es superior a $100 mil millones e inferior a $1 billón.</t>
  </si>
  <si>
    <t>4 El valor agregado del municipio es inferior a $100 mil millones.</t>
  </si>
  <si>
    <t>3 Industrial</t>
  </si>
  <si>
    <t>5 Petrolera</t>
  </si>
  <si>
    <t>1 Agrícola y/o ganadera</t>
  </si>
  <si>
    <t>2 Minera</t>
  </si>
  <si>
    <t>4 Turística</t>
  </si>
  <si>
    <t>¿Existe en la zona presencia de grupos al margen de la ley? ¿Según los registros en los diferentes medios de comunicación, qué tan intensa es la actividad de tales grupos en el lugar de ejecución del contrato?</t>
  </si>
  <si>
    <t>1 Es extraña la presencia de grupos al margen de la ley.</t>
  </si>
  <si>
    <t>2 Hay registros de eventos aislados de grupos al margen de la ley.</t>
  </si>
  <si>
    <t>3 Hay registros de reiterativas acciones de grupos al margen de la ley en algunos periodos del año.</t>
  </si>
  <si>
    <t>4 Hay registros de permanentes acciones de grupos al margen de la ley.</t>
  </si>
  <si>
    <t>1 Es extraña la victimización de líderes sociales.</t>
  </si>
  <si>
    <t>2 Hay registros de eventos aislados de victimización de líderes sociales.</t>
  </si>
  <si>
    <t>3 Hay registros de reiterativas actos de victimización de líderes sociales.</t>
  </si>
  <si>
    <t>4 Hay registros de permanentes acciones de victimización de líderes sociales.</t>
  </si>
  <si>
    <t>1 La presencia de grupos étnicos es marginal</t>
  </si>
  <si>
    <t>2 La presencia de grupos étnicos es notoria pero no tienen dominio territorial.</t>
  </si>
  <si>
    <t>3 La presencia de grupos étnicos es relevante y tienen dominio territorial.</t>
  </si>
  <si>
    <t>1 No hay restricciones de acceso</t>
  </si>
  <si>
    <t>2 Si hay restricciones de acceso</t>
  </si>
  <si>
    <t>1 No hay restricciones de carácter cultural o religioso.</t>
  </si>
  <si>
    <t>2 Si hay restricciones de carácter cultural o religioso.</t>
  </si>
  <si>
    <t>impuestos, cargas parafiscales, y todo tipo de tributos, timbres, estampillas, o cargos de origen impositivo</t>
  </si>
  <si>
    <t>actos de autoridad, comiso, embargo, demandas</t>
  </si>
  <si>
    <t>licencias y permisos</t>
  </si>
  <si>
    <t>telecomunicaciones o disponibilidad de cobertura limitada o no disponibilidad de servicios de telecomunicaciones.</t>
  </si>
  <si>
    <t>servicios públicos.</t>
  </si>
  <si>
    <t>nuevos desarrollos tecnológicos</t>
  </si>
  <si>
    <t>Operación y manejo de equipos y herramientas.</t>
  </si>
  <si>
    <t>Operatividad y estado de las vías de acceso y disponibilidad limitada o no disponibilidad de medios de transporte adecuados para transitar y acceder a los sitios indicados para ejecutar las actividades propias del proyecto.</t>
  </si>
  <si>
    <t>En particular se deben anticipar los equipos y medios necesarios</t>
  </si>
  <si>
    <t>subcontratos</t>
  </si>
  <si>
    <t>proveedores</t>
  </si>
  <si>
    <t>subordinadas</t>
  </si>
  <si>
    <t>Actos de terrorismo</t>
  </si>
  <si>
    <t>actos de Delincuencia común</t>
  </si>
  <si>
    <t xml:space="preserve">Actividad proselitista </t>
  </si>
  <si>
    <t>huelgas</t>
  </si>
  <si>
    <t>costumbres y usos culturales, religiosos y creencias</t>
  </si>
  <si>
    <t xml:space="preserve">protestas </t>
  </si>
  <si>
    <t>Tipo de cambio</t>
  </si>
  <si>
    <t>Tasa de interés</t>
  </si>
  <si>
    <t>Curva de Inflación</t>
  </si>
  <si>
    <t>comercio, medidas y trámites de Importaciones y exportaciones</t>
  </si>
  <si>
    <t>disponibilidad y costo de mano de obra</t>
  </si>
  <si>
    <t>oferta o demanda de bienes y servicios</t>
  </si>
  <si>
    <t>Geológicos</t>
  </si>
  <si>
    <t>freáticos</t>
  </si>
  <si>
    <t xml:space="preserve"> Hidrológicos</t>
  </si>
  <si>
    <t>Climáticos</t>
  </si>
  <si>
    <t xml:space="preserve"> incendios forestales</t>
  </si>
  <si>
    <t>Biológicos / patológicos</t>
  </si>
  <si>
    <t>acción de roedores, insectos y demás animales</t>
  </si>
  <si>
    <t>accidentes laborales</t>
  </si>
  <si>
    <t>enfermedad profesional</t>
  </si>
  <si>
    <t>muerte</t>
  </si>
  <si>
    <t>ausentismos</t>
  </si>
  <si>
    <t>falta de personas clave</t>
  </si>
  <si>
    <t>actos de empleados ya sean voluntarios o culposos</t>
  </si>
  <si>
    <t>impericia o falta de habilidades y conocimiento.</t>
  </si>
  <si>
    <t>Incendios</t>
  </si>
  <si>
    <t>Roturas</t>
  </si>
  <si>
    <t>Filtraciones</t>
  </si>
  <si>
    <t>Derrames</t>
  </si>
  <si>
    <t>Explosiones</t>
  </si>
  <si>
    <t>Falla Mecánica</t>
  </si>
  <si>
    <t>Falla Eléctrica</t>
  </si>
  <si>
    <t>Falla Química</t>
  </si>
  <si>
    <t>Vicios ocultos</t>
  </si>
  <si>
    <t>pérdidas materiales en los bienes actuaciones u omisiones que cometan terceros ajenos al contrato sean de carácter culposo o doloso.</t>
  </si>
  <si>
    <t>Contexto</t>
  </si>
  <si>
    <t>Actividad</t>
  </si>
  <si>
    <t>derechos de autor y de propiedad intelectual</t>
  </si>
  <si>
    <t xml:space="preserve">Normas vigentes que hoy son conocidas o que entrarán en vigencia durante el plazo de ejecución, incluidas las disposiciones legales y normas relacionadas con el estado de excepción y la emergencia sanitaria por el COVID-19. </t>
  </si>
  <si>
    <t>Es amplia o restringida la disponibilidad de medios de transporte en el lugar de ejecución del contrato?</t>
  </si>
  <si>
    <t>Cuántos frentes de obra son?</t>
  </si>
  <si>
    <t>1 Se contempla un único frente de obra.</t>
  </si>
  <si>
    <t>3 Se contempla 5 a 10 frentes de obra.</t>
  </si>
  <si>
    <t>2 Se contempla 2 a 5 frentes de obra.</t>
  </si>
  <si>
    <t>4 Se contempla más de 10 frentes de obra.</t>
  </si>
  <si>
    <t>filiales</t>
  </si>
  <si>
    <t>1 La ejecución del contrato se hace en un solo lugar específico.</t>
  </si>
  <si>
    <t>2 La ejecución del contrato se hace en más de un lugar pero su localización es concentrada en un municipio.</t>
  </si>
  <si>
    <t>3 La ejecución del contrato se hace en lugares dispersos en un mismo departamento.</t>
  </si>
  <si>
    <t>4 La ejecución del contrato se realiza en dos o más departamentos.</t>
  </si>
  <si>
    <t>1. Factor de Riesgos: Riesgos Legales</t>
  </si>
  <si>
    <t>3 La vía debe cumplir requisitos de ancho y estado de la capa de rodadura.</t>
  </si>
  <si>
    <t>1 La disponibilidad de mano de obra con la calificación requerida es amplia.</t>
  </si>
  <si>
    <t>3 Los conocimientos o las habilidades son muy expertos pocas personas cuentan con ellos.</t>
  </si>
  <si>
    <t>3 La disponibilidad de mano de obra con la calificación requerida es escasa.</t>
  </si>
  <si>
    <t xml:space="preserve">Se requiere que el contratista realice actividades de manipulación y/o suministro de alimentos? </t>
  </si>
  <si>
    <t xml:space="preserve">Se requiere que el contratista realice actividades de manipulación y/o suministro de medicamentos? </t>
  </si>
  <si>
    <t>2 Alguno de los materiales e insumos requiere permiso legal para acceder a ellos.</t>
  </si>
  <si>
    <t>RL</t>
  </si>
  <si>
    <t>RI</t>
  </si>
  <si>
    <t>RPR</t>
  </si>
  <si>
    <t>RSP</t>
  </si>
  <si>
    <t>RM</t>
  </si>
  <si>
    <t>RN</t>
  </si>
  <si>
    <t>RRH</t>
  </si>
  <si>
    <t>RHC</t>
  </si>
  <si>
    <t>RV</t>
  </si>
  <si>
    <t>RAC</t>
  </si>
  <si>
    <t>4 Se requieren materiales e insumos perecederos y constituyen la mayor porción para la ejecución del contrato, pero sus tiempos de vencimiento son inferiores a un año.</t>
  </si>
  <si>
    <t>1 Nada Relevante</t>
  </si>
  <si>
    <t>2 Poco Relevante</t>
  </si>
  <si>
    <t>3 Algo Relevante</t>
  </si>
  <si>
    <t>4 Muy Relevante</t>
  </si>
  <si>
    <t>5 Absolutamente Relevante</t>
  </si>
  <si>
    <t>1 Las condiciones de tormentas eléctricas no son relevantes para el contrato.</t>
  </si>
  <si>
    <t>3 Las tormentas eléctricas son ocasionales en el lugar de ejecución del contrato.</t>
  </si>
  <si>
    <t>4 Las tormentas eléctricas son frecuentes en el lugar de ejecución del contrato.</t>
  </si>
  <si>
    <t>5 Las condiciones de tormentas eléctricas son extremas en el lugar de ejecución del contrato.</t>
  </si>
  <si>
    <t>1 No se requieren actividades de transporte</t>
  </si>
  <si>
    <t>2 Las actividades de transporte son eventuales</t>
  </si>
  <si>
    <t>3 Las actividades de transporte son frecuentes y periódicas</t>
  </si>
  <si>
    <t>1 El contrato no contempla actividades de manipulación y/o suministro de alimentos.</t>
  </si>
  <si>
    <t>2 El contrato contempla algunas actividades de manipulación y/o suministro de alimentos pero es una actividad accesoria al contrato.</t>
  </si>
  <si>
    <t>3 El contrato contempla inherentemente actividades de manipulación y/o suministro de alimentos.</t>
  </si>
  <si>
    <t>1 El contrato no contempla actividades de manipulación y/o suministro de medicamentos.</t>
  </si>
  <si>
    <t>3 El contrato contempla inherentemente actividades de manipulación y/o suministro de medicamentos.</t>
  </si>
  <si>
    <t>1 Ninguno de los materiales e insumos requiere de permiso legal para acceder a ellos.</t>
  </si>
  <si>
    <t>1 El suministro de agua no es relevante para la ejecución del contrato.</t>
  </si>
  <si>
    <t>2 Se cuenta con red de suministro de agua y está disponible todo el tiempo.</t>
  </si>
  <si>
    <t>3 Se cuenta con red de suministro de agua y está disponible tiempo parcial al menos el 70% del tiempo.</t>
  </si>
  <si>
    <t>4 Se cuenta con red de suministro de agua y está disponibl e menos del 50% del tiempo.</t>
  </si>
  <si>
    <t>5 Se requiere aprovisionarse de agua en bloque o realizar captación de agua.</t>
  </si>
  <si>
    <t>1 El suministro de energía eléctrica no es relevante para la ejecución del contrato.</t>
  </si>
  <si>
    <t>2 Se cuenta con red de suministro de energía eléctrica y está disponible todo el tiempo.</t>
  </si>
  <si>
    <t>3 Se cuenta con red de suministro de energía eléctrica y está disponible tiempo parcial al menos el 70% del tiempo.</t>
  </si>
  <si>
    <t>4 Se cuenta con red de suministro de energía eléctrica y está disponibl e menos del 50% del tiempo.</t>
  </si>
  <si>
    <t>5 Se requiere aprovisionarse de energía eléctrica mediante generación propia.</t>
  </si>
  <si>
    <t>1 El suministro de gas no es relevante para la ejecución del contrato.</t>
  </si>
  <si>
    <t>2 Se cuenta con red de suministro de gas y está disponible todo el tiempo.</t>
  </si>
  <si>
    <t>3  Se cuenta con red de suministro de gas  y está disponible tiempo parcial al menos el 70% del tiempo.</t>
  </si>
  <si>
    <t>4 Se cuenta con red de suministro de gas y está disponibl e menos del 50% del tiempo.</t>
  </si>
  <si>
    <t>5 Se requiere aprovisionarse de gas mediante suministro en pipas de gas.</t>
  </si>
  <si>
    <t>1 El servicio de telecomunicaciones no es relevante para la ejecución del contrato.</t>
  </si>
  <si>
    <t>2 Se cuenta con red de servicio de telecomunicaciones y está disponible todo el tiempo.</t>
  </si>
  <si>
    <t>3 Se cuenta con red de servicio de telecomunicaciones y está disponible tiempo parcial al menos el 70% del tiempo.</t>
  </si>
  <si>
    <t>4 Se cuenta con red de servicio de telecomunicaciones y está disponibl e menos del 50% del tiempo.</t>
  </si>
  <si>
    <t>5 Se requiere aprovisionarse de medios de telecomunicación satelital.</t>
  </si>
  <si>
    <t>1 El servicio de conectividad no es relevante para la ejecución del contrato.</t>
  </si>
  <si>
    <t>2 Se cuenta con red de servicio de conectividad y está disponible todo el tiempo.</t>
  </si>
  <si>
    <t>3 Se cuenta con red de servicio de conectividad y está disponible tiempo parcial al menos el 70% del tiempo.</t>
  </si>
  <si>
    <t>4 Se cuenta con red de servicio de conectividad y está disponibl e menos del 50% del tiempo.</t>
  </si>
  <si>
    <t>5 Se requiere aprovisionarse de servicio de conectividad satelital.</t>
  </si>
  <si>
    <t>1 No se requiere procesamiento de datos en el contrato</t>
  </si>
  <si>
    <t>2 Se requiere procesamiento de algunos datos pero no es relevante para el contrato y se realiza internamente.</t>
  </si>
  <si>
    <t>3 Se requiere el procesamiento de un alto volumen de datos, es relevante para la ejecución del contrato y se realiza internamente.</t>
  </si>
  <si>
    <t>1 No se requiere almacenamiento de datos en el contrato</t>
  </si>
  <si>
    <t>2 Se requiere almacenamiento de algunos datos pero no es relevante para el contrato y se realiza internamente.</t>
  </si>
  <si>
    <t>3 Se requiere el almacenamiento de un alto volumen de datos, es relevante para la ejecución del contrato y se realiza internamente.</t>
  </si>
  <si>
    <t>4 Se requiere el almacenamiento de un alto volumen de datos, es relevante para la ejecución del contrato y se realiza con un tercero.</t>
  </si>
  <si>
    <t>1 No se requiere servicio de sonido en el contrato</t>
  </si>
  <si>
    <t>2 Se requiere servicio de sonido pero no es relevante para el contrato y se realiza con medios propios.</t>
  </si>
  <si>
    <t>3 Se requiere el servicio de sonido, es relevante para la ejecución del contrato y se realiza con medios propios.</t>
  </si>
  <si>
    <t>4 Se requiere el servicio de sonido especializado, es relevante para la ejecución del contrato y se realiza con un tercero.</t>
  </si>
  <si>
    <t>1 No se requiere servicio de audiovisuales en el contrato</t>
  </si>
  <si>
    <t>2 Se requiere servicio de audiovisuales pero no es relevante para el contrato y se realiza con medios propios.</t>
  </si>
  <si>
    <t>3 Se requiere el servicio de audiovisuales, es relevante para la ejecución del contrato y se realiza con medios propios.</t>
  </si>
  <si>
    <t>4 Se requiere el servicio de audiovisuales especializado, es relevante para la ejecución del contrato y se realiza con un tercero.</t>
  </si>
  <si>
    <t>1 No se requieren servicios de alojamiento.</t>
  </si>
  <si>
    <t>2 Se requieren algunos servicios de alojamiento y su disponibilidad es amplia.</t>
  </si>
  <si>
    <t>3 Se requieren algunos servicios de alojamiento y su disponibilidad es limitada.</t>
  </si>
  <si>
    <t>4 Los servicios de alojamiento son inherentes al objeto del contrato y su disponibilidad es amplia.</t>
  </si>
  <si>
    <t>5 Los servicios de alojamiento son inherentes al objeto del contrato y su disponibilidad es limitada.</t>
  </si>
  <si>
    <t>1 No se requieren servicios sanitarios.</t>
  </si>
  <si>
    <t>2 Se requieren algunos servicios sanitarios y su disponibilidad es amplia.</t>
  </si>
  <si>
    <t>3 Se requieren algunos servicios sanitarios y su disponibilidad es limitada. Requiere proveerse por medios propios.</t>
  </si>
  <si>
    <t>4 Los servicios sanitarios son inherentes al objeto del contrato y su disponibilidad es amplia.</t>
  </si>
  <si>
    <t>5 Los servicios sanitarios son inherentes al objeto del contrato y su disponibilidad es limitada. Debe proveerse por medios propios.</t>
  </si>
  <si>
    <t>1 No se requieren ensayos de laboratorio.</t>
  </si>
  <si>
    <t>2 Se requieren algunos ensayos de laboratorio y su disponibilidad es amplia.</t>
  </si>
  <si>
    <t>3 Se requieren algunos ensayos de laboratorio y su disponibilidad es limitada.</t>
  </si>
  <si>
    <t>4 Los ensayos de laboratorio son inherentes al objeto del contrato y su disponibilidad es amplia.</t>
  </si>
  <si>
    <t>5 Los ensayos de laboratorio son inherentes al objeto del contrato y su disponibilidad es limitada.</t>
  </si>
  <si>
    <t>1 No se requieren disposición de residuos o escombros.</t>
  </si>
  <si>
    <t>2 Se requieren alguna disposición de residuos o escombros y su disponibilidad es amplia.</t>
  </si>
  <si>
    <t>3 Se requieren alguna disposición de residuos o escombros y su disponibilidad es limitada.</t>
  </si>
  <si>
    <t>4 Los disposición de residuos o escombros son inherentes al objeto del contrato y su disponibilidad es amplia.</t>
  </si>
  <si>
    <t>5 Los disposición de residuos o escombros son inherentes al objeto del contrato y su disponibilidad es limitada.</t>
  </si>
  <si>
    <t>1 La estructura de supervisión y gerenciamiento no es relevante para el contrato</t>
  </si>
  <si>
    <t>2 La estructura de supervisión y niveles de decisión es plana.</t>
  </si>
  <si>
    <t>3 La estructura de supervisión y niveles de decisión es elaborada y las decisiones se toman en cada nivel según su relevancia para el contrato.</t>
  </si>
  <si>
    <t>4 La estructura de supervisión y niveles de desición es compleja por la multiplicidad de materias, experticis y procedimientos que se requieren en el contrato.</t>
  </si>
  <si>
    <t>1 Los procesos, metodologías, procedimientos, instructivos son sencillos o simples</t>
  </si>
  <si>
    <t>2 Los procesos, metodologías, procedimientos, instructivos tienen algunas complejidades</t>
  </si>
  <si>
    <t>3 Los procesos, metodologías, procedimientos, instructivos son complejos</t>
  </si>
  <si>
    <t>4 Los procesos, metodologías, procedimientos, instructivos son de alto nivel de complejidad</t>
  </si>
  <si>
    <t>1 Las actividades a realizar no requieren direccionamiento y control, El personal puede actuar autónomamente.</t>
  </si>
  <si>
    <t>2 Las actividades a realizar requieren de un nivel básico de direccionamiento y control, El personal puede actuar con alto grado de autonomía.</t>
  </si>
  <si>
    <t>4 Las actividades a realizar requieren de un alto nivel de direccionamiento y control. El personal debe actuar en permanente consulta con el supervisor.</t>
  </si>
  <si>
    <t>1 El uso de máquinas, equipos y vehículos para la ejecución del contrato no es relevante.</t>
  </si>
  <si>
    <t>2 Las máquinas, equipos y vehículos son de uso común y su disponibilidad es amplia.</t>
  </si>
  <si>
    <t>3 Las máquinas, equipos y vehículos son especializados,  y su disponibilidad es limitada.</t>
  </si>
  <si>
    <t>4 Las máquinas, equipos y vehículos son complejas y acondicionadas especialmente para el contrato,  y su disponibilidad es muy limitada.</t>
  </si>
  <si>
    <t>1 El contrato no contempla actividades de campo.</t>
  </si>
  <si>
    <t>2 El contrato contempla algunas actividades de campo básicas.</t>
  </si>
  <si>
    <t>3 El contrato contempla una cantidad apreciable de actividades de campo sencillas.</t>
  </si>
  <si>
    <t>4 El contrato contempla una cantidad apreciable de actividades de campo especializadas y/o complejas.</t>
  </si>
  <si>
    <t>1 El contrato no contempla actividades de obra civil.</t>
  </si>
  <si>
    <t>2 El contrato contempla actividaes de obra civil básicas.</t>
  </si>
  <si>
    <t>3 El contrato contempla actividaes de obra civil complejas.</t>
  </si>
  <si>
    <t>4 El contrato contempla actividades de obra civil altamente complejas.</t>
  </si>
  <si>
    <t>2 Las tormentas eléctricas son extrañas en el lugar de ejecución del contrato.</t>
  </si>
  <si>
    <t>4 Se requiere el procesamiento de un alto volumen de datos, es relevante para la ejecución del contrato y se realiza con un tercero.</t>
  </si>
  <si>
    <t>3 Las actividades a realizar requieren de un nivel de direccionamiento y control elaborado. El personal puede actuar con limitado grado de autonomía.</t>
  </si>
  <si>
    <t>Númeo de Ítems del Presupuesto</t>
  </si>
  <si>
    <t>Proyecto Macro:</t>
  </si>
  <si>
    <t>Escriba el nombre del proyecto o el objeto del Contrato Interadministrativo del cual se deriva la contratación</t>
  </si>
  <si>
    <t>Objeto del contrato:</t>
  </si>
  <si>
    <t>Escriba el objeto del contrato</t>
  </si>
  <si>
    <t>Presupuesto:</t>
  </si>
  <si>
    <t>Escriba el valor del presupuesto oficial estimado</t>
  </si>
  <si>
    <t>Plazo del contrato.</t>
  </si>
  <si>
    <t>Escriba el plazo del contrato en meses</t>
  </si>
  <si>
    <t>Seleccione si el contrato se ejecuta por Etapas o Fases</t>
  </si>
  <si>
    <t># Etapas/Fases</t>
  </si>
  <si>
    <t>Escriba el número de etapas o fases que se ejecutarán en el contrato</t>
  </si>
  <si>
    <t>Nombre de la Etapa /Fase</t>
  </si>
  <si>
    <t>1 Precios unitarios sin fórmula de ajuste.</t>
  </si>
  <si>
    <t>2 Precio global fijo.</t>
  </si>
  <si>
    <t>3 Precios unitarios con fórmula de ajuste.</t>
  </si>
  <si>
    <t>4 Precio global con fórmula de ajuste.</t>
  </si>
  <si>
    <t>5 Llave en mano.</t>
  </si>
  <si>
    <t>6 Open Book.</t>
  </si>
  <si>
    <t>2 Contrato de Consultoría.</t>
  </si>
  <si>
    <t>1 Contrato de Obra.</t>
  </si>
  <si>
    <t>3 Contrato de Prestación de Servicios.</t>
  </si>
  <si>
    <t>4 Contrato de Suministro.</t>
  </si>
  <si>
    <t>5 Contrato de Compra/venta.</t>
  </si>
  <si>
    <t>1 Pago fijo por periodos.</t>
  </si>
  <si>
    <t>2 Pago fijo por periodos más pago variable según avance de ejecución.</t>
  </si>
  <si>
    <t>3 Pago por hitos.</t>
  </si>
  <si>
    <t>4 Pago por entregables.</t>
  </si>
  <si>
    <t>5 Pagos proporcionales al avance de ejecución con anticipo.</t>
  </si>
  <si>
    <t>6 Pagos proporcionales al avance de ejecución sin anticipo.</t>
  </si>
  <si>
    <t>Tipo de contrato.</t>
  </si>
  <si>
    <t>Seleccione el tipo de contrato de la lista desplegable</t>
  </si>
  <si>
    <t>Sistema de Pago.</t>
  </si>
  <si>
    <t>Seleccione el sistema de pago de la lista desplegable</t>
  </si>
  <si>
    <t>Forma de Pago:</t>
  </si>
  <si>
    <t>Seleccione de la lista desplegable la forma de pago para cada una de las etapas o fases</t>
  </si>
  <si>
    <t>Ítems del Presupuesto:</t>
  </si>
  <si>
    <t>Número de ítems del presupuesto:</t>
  </si>
  <si>
    <t>Identifique los nombres de los ítems del presupuesto a utilizar para el análisis de riesgos.</t>
  </si>
  <si>
    <t>Los siguientes ejemplos ilustran los ítems de presupuesto a identificar en casos típicos.</t>
  </si>
  <si>
    <t>Obra</t>
  </si>
  <si>
    <t>Etapa de Verificación y Complementación Técnica</t>
  </si>
  <si>
    <t>ÍTEMS DEL PRESUPUESTO</t>
  </si>
  <si>
    <t>Costos de Personal</t>
  </si>
  <si>
    <t>Costos Indirectos</t>
  </si>
  <si>
    <t>Etapa de Obra</t>
  </si>
  <si>
    <t>ITEMS DEL PRESUPUESTO</t>
  </si>
  <si>
    <t>Costo Directo</t>
  </si>
  <si>
    <t>Gastos de Administración</t>
  </si>
  <si>
    <t>Contrato de Consultoría / Interventoría:</t>
  </si>
  <si>
    <t>Costos de prestación del Servicio</t>
  </si>
  <si>
    <t>Contexto:</t>
  </si>
  <si>
    <t>La descripción de la localización del proyecto del documento de planeación se puede utilizar como soporte para la respuesta a las preguntas del contexto.</t>
  </si>
  <si>
    <t>Como complemento para responder las preguntas puede apoyarse en las siguientes fuentes de información, salvo mejor información disponible del contexto para el contrato.</t>
  </si>
  <si>
    <t>http://srvags.sgc.gov.co/JSviewer/Mapas_Geologicos_Departamentales/</t>
  </si>
  <si>
    <t>https://srvags.sgc.gov.co/JSViewer/Amenaza_Sismica/</t>
  </si>
  <si>
    <t>http://visor.ideam.gov.co/geovisor/#!/profiles/3</t>
  </si>
  <si>
    <t>Contexto Ambiental:</t>
  </si>
  <si>
    <t>Contexto Geomorfológico:</t>
  </si>
  <si>
    <t>http://sig.anla.gov.co:8083/</t>
  </si>
  <si>
    <t>https://www.researchgate.net/figure/Map-of-lightning-over-Colombia-during-2012-and-2013-in-20-by-20-km-bins-color-coded_fig5_270582408</t>
  </si>
  <si>
    <t>Contexto Natural:</t>
  </si>
  <si>
    <t>http://2014.derechoshumanos.gov.co/Observatorio/Documents/Geografia-Violencia/Geografia-confrontacion-armada-colombia-1998-2011.pdf</t>
  </si>
  <si>
    <t>https://moe.org.co/wp-content/uploads/2018/02/violencia_2018.png</t>
  </si>
  <si>
    <t>https://www.banrep.gov.co/es/estadisticas/trm</t>
  </si>
  <si>
    <t>https://www.banrep.gov.co/es/estadisticas/indice-precios-consumidor-ipc</t>
  </si>
  <si>
    <t>https://www.banrep.gov.co/es/estadisticas/tasas-de-interes-y-sector-financiero</t>
  </si>
  <si>
    <t>¡IMPORTANTE!</t>
  </si>
  <si>
    <r>
      <t xml:space="preserve">Los ítems del presupuesto corresponden a los que estructuran el presupuesto y se pueden identificar en:
</t>
    </r>
    <r>
      <rPr>
        <sz val="11"/>
        <color rgb="FFFF0000"/>
        <rFont val="Calibri"/>
        <family val="2"/>
        <scheme val="minor"/>
      </rPr>
      <t xml:space="preserve">* </t>
    </r>
    <r>
      <rPr>
        <sz val="11"/>
        <color theme="1"/>
        <rFont val="Calibri"/>
        <family val="2"/>
        <scheme val="minor"/>
      </rPr>
      <t xml:space="preserve">El presupuesto de obra.
</t>
    </r>
    <r>
      <rPr>
        <sz val="11"/>
        <color rgb="FFFF0000"/>
        <rFont val="Calibri"/>
        <family val="2"/>
        <scheme val="minor"/>
      </rPr>
      <t xml:space="preserve">* </t>
    </r>
    <r>
      <rPr>
        <sz val="11"/>
        <color theme="1"/>
        <rFont val="Calibri"/>
        <family val="2"/>
        <scheme val="minor"/>
      </rPr>
      <t xml:space="preserve">El documento de costeo para la determinación del presupuesto con factor multiplicador.
</t>
    </r>
    <r>
      <rPr>
        <sz val="11"/>
        <color rgb="FFFF0000"/>
        <rFont val="Calibri"/>
        <family val="2"/>
        <scheme val="minor"/>
      </rPr>
      <t xml:space="preserve">* </t>
    </r>
    <r>
      <rPr>
        <sz val="11"/>
        <color theme="1"/>
        <rFont val="Calibri"/>
        <family val="2"/>
        <scheme val="minor"/>
      </rPr>
      <t xml:space="preserve">Los ítems identificables en los estudios de precios de mercado.
</t>
    </r>
    <r>
      <rPr>
        <b/>
        <sz val="11"/>
        <color rgb="FFFF0000"/>
        <rFont val="Calibri"/>
        <family val="2"/>
        <scheme val="minor"/>
      </rPr>
      <t>NOTA:</t>
    </r>
    <r>
      <rPr>
        <sz val="11"/>
        <color theme="1"/>
        <rFont val="Calibri"/>
        <family val="2"/>
        <scheme val="minor"/>
      </rPr>
      <t xml:space="preserve"> Si no es posible discriminar los ítems del presupuesto escriba "Costo del Servicio" o "Costo del Bien" o "Costos del suministro" según corresponda.</t>
    </r>
  </si>
  <si>
    <t>de</t>
  </si>
  <si>
    <t>a</t>
  </si>
  <si>
    <t>Meses</t>
  </si>
  <si>
    <t>Descripción de las actividades para cada fase o etapa del contrato:</t>
  </si>
  <si>
    <r>
      <rPr>
        <b/>
        <sz val="11"/>
        <color rgb="FFFF0000"/>
        <rFont val="Calibri"/>
        <family val="2"/>
        <scheme val="minor"/>
      </rPr>
      <t xml:space="preserve">NOTA: </t>
    </r>
    <r>
      <rPr>
        <b/>
        <sz val="11"/>
        <color theme="1"/>
        <rFont val="Calibri"/>
        <family val="2"/>
        <scheme val="minor"/>
      </rPr>
      <t>La evaluación de la complejidad de las actividades se realiza de manera independiente para cada una de las fases o etapas del contrato.</t>
    </r>
  </si>
  <si>
    <t>Valor del SMMLV</t>
  </si>
  <si>
    <t>Rango 1</t>
  </si>
  <si>
    <t>Rango 4</t>
  </si>
  <si>
    <t>Rango 2</t>
  </si>
  <si>
    <t>Rango 3</t>
  </si>
  <si>
    <t>Rango 5</t>
  </si>
  <si>
    <t>Factor Riesgo</t>
  </si>
  <si>
    <t>Duración Etapa / Fase</t>
  </si>
  <si>
    <t>Indique la duración de la Etapa o Fase en Meses</t>
  </si>
  <si>
    <t>Factor Plazo del Contrato</t>
  </si>
  <si>
    <t>Factor Plazo Fase/Etapa 1</t>
  </si>
  <si>
    <t>Factor Plazo Fase/Etapa 2</t>
  </si>
  <si>
    <t>Factor Plazo Fase/Etapa 3</t>
  </si>
  <si>
    <t>Factor Plazo Fase/Etapa 4</t>
  </si>
  <si>
    <t>Factor Plazo Fase/Etapa 5</t>
  </si>
  <si>
    <t>Factor Plazo Fase/Etapa 6</t>
  </si>
  <si>
    <t>Factor Presupuesto Fase/Etapa 1</t>
  </si>
  <si>
    <t>Factor Presupuesto Fase/Etapa 2</t>
  </si>
  <si>
    <t>Factor Presupuesto Fase/Etapa 3</t>
  </si>
  <si>
    <t>Factor Presupuesto Fase/Etapa 4</t>
  </si>
  <si>
    <t>Factor Presupuesto Fase/Etapa 5</t>
  </si>
  <si>
    <t>Factor Presupuesto Fase/Etapa 6</t>
  </si>
  <si>
    <t>Intensidad MO</t>
  </si>
  <si>
    <t>Factor Presupuesto del Contrato</t>
  </si>
  <si>
    <t>Estimado Personal</t>
  </si>
  <si>
    <t>Costo Estimado Personal Mes</t>
  </si>
  <si>
    <t>Costo Estimado Personal Total</t>
  </si>
  <si>
    <t>desde</t>
  </si>
  <si>
    <t>hasta</t>
  </si>
  <si>
    <t>Referencia</t>
  </si>
  <si>
    <t>Factor Ítem del Presupuesto</t>
  </si>
  <si>
    <t>Fase 1 /Etapa 1</t>
  </si>
  <si>
    <t>Fase 2 /Etapa 2</t>
  </si>
  <si>
    <t>Fase 3 /Etapa 3</t>
  </si>
  <si>
    <t>Fase 4 /Etapa 4</t>
  </si>
  <si>
    <t>Fase 5 /Etapa 5</t>
  </si>
  <si>
    <t>Fase 6 /Etapa 6</t>
  </si>
  <si>
    <t>MO</t>
  </si>
  <si>
    <t>Transporte</t>
  </si>
  <si>
    <t>Intensidad Transporte</t>
  </si>
  <si>
    <t>Estimado Transporte</t>
  </si>
  <si>
    <t>Costo Estimado Transporte Mes</t>
  </si>
  <si>
    <t>Costo Estimado Transporte Total</t>
  </si>
  <si>
    <t>Intensidad Materiales de Insumo</t>
  </si>
  <si>
    <t>Materiales</t>
  </si>
  <si>
    <t>Variación por materiales</t>
  </si>
  <si>
    <t>Tipo Contrato</t>
  </si>
  <si>
    <t>Intensidad Maquinaria y Equipo</t>
  </si>
  <si>
    <t>Variación por Maquinaria y Equipo</t>
  </si>
  <si>
    <t>Materiales Importados</t>
  </si>
  <si>
    <t>Intensidad Materiales Importados</t>
  </si>
  <si>
    <t>Variación Materiales Importados</t>
  </si>
  <si>
    <t>Maquinaria y Equipo</t>
  </si>
  <si>
    <t>Ponderación</t>
  </si>
  <si>
    <t>Intensidad dias/mes</t>
  </si>
  <si>
    <t>Costo Diario</t>
  </si>
  <si>
    <t>Valor Impacto</t>
  </si>
  <si>
    <t>1. Factor de Riesgos: Acciones Legales</t>
  </si>
  <si>
    <t>Contratista</t>
  </si>
  <si>
    <t>Sugerido Probabilidad</t>
  </si>
  <si>
    <t>Sugerido Consecuencia</t>
  </si>
  <si>
    <t>Contrato de Prestación de Servicios:</t>
  </si>
  <si>
    <t>Costo de suministro del producto</t>
  </si>
  <si>
    <r>
      <t xml:space="preserve">Recuerde que para los contratos de ejecución instantánea, teniendo en cuenta lo dispuesto en el Artículo 868 del Código de Comercio, no procede la revisión de las condiciones del contrato y por tanto el análisis de riesgos no considera la valoración de riesgos con los 10 factores de riesgos que se realiza y se limita a considerar algunos eventos que se pueden presentar en el cumplimiento del objeto contractual.
</t>
    </r>
    <r>
      <rPr>
        <b/>
        <sz val="11"/>
        <color rgb="FFFF0000"/>
        <rFont val="Calibri"/>
        <family val="2"/>
        <scheme val="minor"/>
      </rPr>
      <t xml:space="preserve">NOTA: </t>
    </r>
    <r>
      <rPr>
        <b/>
        <sz val="11"/>
        <color theme="1"/>
        <rFont val="Calibri"/>
        <family val="2"/>
        <scheme val="minor"/>
      </rPr>
      <t>La evaluación del contexto es una sola para todo el contrato.</t>
    </r>
  </si>
  <si>
    <t>Condiciones Climáticas:</t>
  </si>
  <si>
    <t>Condiciones tormentas eléctricas:</t>
  </si>
  <si>
    <t>INSTRUCTIVO PARA LA ELABORACIÓN DEL ANÁLISIS DE RIESGOS DE LA CONTRATACIÓN DE FUNCIONAMIENTO Y DERIVADA</t>
  </si>
  <si>
    <t>DATOS GENERALES DEL CONTRATO</t>
  </si>
  <si>
    <t>INFORMACIÓN DEL CONTEXTO DEL PROYECTO</t>
  </si>
  <si>
    <t>ANÁLISIS DE LAS ACTIVIDADES A REALIZAR POR EL CONTRATISTA</t>
  </si>
  <si>
    <t>Seleccione la Fase o Etapa del Análisis</t>
  </si>
  <si>
    <t>3 Las condiciones climáticas varían en amplios rangos y las condiciones extremas se pueden presentar con alguna frecuencia.</t>
  </si>
  <si>
    <t>5 Contexto Sociopolítico</t>
  </si>
  <si>
    <t>10 Complejidad Manipulación de Medicamentos</t>
  </si>
  <si>
    <t>11 Complejidad Materiales e Insumos</t>
  </si>
  <si>
    <t>12 Complejidad Servicios Conexos</t>
  </si>
  <si>
    <t>10 Complejidad Manipulación Medicamentos</t>
  </si>
  <si>
    <t>13 Complejidad Direccionamiento y Gestión</t>
  </si>
  <si>
    <t>14 Complejidad Maquinaria y Equipos</t>
  </si>
  <si>
    <t>15 Complejidad Actividades de campo</t>
  </si>
  <si>
    <t>16 Complejidad Actividades de Obra</t>
  </si>
  <si>
    <t>15 Complejidad actividades de campo</t>
  </si>
  <si>
    <t>16 Complejidad Actividades obra civil</t>
  </si>
  <si>
    <t>17 Complejidad de direccionamiento y gestión</t>
  </si>
  <si>
    <t>05 Contexto Sociopolítico</t>
  </si>
  <si>
    <t>06 Complejidad de la actividad</t>
  </si>
  <si>
    <t>07 Complejidad del Recurso Humano</t>
  </si>
  <si>
    <t>08 Complejidad Actividades de Transporte</t>
  </si>
  <si>
    <t>09 Complejidad Manipulación de Alimentos</t>
  </si>
  <si>
    <t>03 Contexto Ambiental</t>
  </si>
  <si>
    <t>02 Contexto Geomorfológico</t>
  </si>
  <si>
    <t>01 Contexto Natural</t>
  </si>
  <si>
    <t>07 Complejidad Recurso Humano</t>
  </si>
  <si>
    <t>08 Complejidad Actividades de transporte</t>
  </si>
  <si>
    <t>04 Contexto Macroeconómico</t>
  </si>
  <si>
    <t>13 Complejidad de direccionamiento y gestión</t>
  </si>
  <si>
    <t>Efectos en costos del Recurso Humano</t>
  </si>
  <si>
    <t>Efectos en Costos por Complejidad de la actividad</t>
  </si>
  <si>
    <t>Efectos en costos de las Actividades de transporte</t>
  </si>
  <si>
    <t>Efectos en costos por la Manipulación de Alimentos</t>
  </si>
  <si>
    <t>Efectos en costos por la Manipulación Medicamentos</t>
  </si>
  <si>
    <t>Efectos en costos de Materiales e Insumos</t>
  </si>
  <si>
    <t>Efectos en costos de Servicios Conexos</t>
  </si>
  <si>
    <t>Efectos en costos por la complejidad de Direccionamiento y Gestión</t>
  </si>
  <si>
    <t>Efectos en costos de Maquinaria y Equipos</t>
  </si>
  <si>
    <t>Efectos en costos por Complejidad Actividades de campo</t>
  </si>
  <si>
    <t>Efectos en costos por Complejidad Actividades obra civil</t>
  </si>
  <si>
    <t>Mayores incidencias de:</t>
  </si>
  <si>
    <t>Reflejándose en:</t>
  </si>
  <si>
    <t>https://www.dane.gov.co/index.php/estadisticas-por-tema/cuentas-nacionales/cuentas-nacionales-departamentales</t>
  </si>
  <si>
    <t>TABLAS DE RIESGOS</t>
  </si>
  <si>
    <t>Tratamiento Sugerido</t>
  </si>
  <si>
    <t>Monitorear estado de acciones legales, contemplar en rubro de contingencias posibles costos de asesoría legal y defensa.</t>
  </si>
  <si>
    <t>verificar la normativa aplicable a la actividad económica y al contrato, así como las normas técnicas que se deben observar para la ejecución del mismo y considerar en el modelo financiero para la estructuración de la oferta.</t>
  </si>
  <si>
    <t>Tratamiento Sugerido Contratista</t>
  </si>
  <si>
    <t>Verificar disponibilidad de infraestructura de telecomunicaciones frente a las necesidades del contrato, establecer medios alterno de telecomunicación en caso de ser necesario, considerar costos en el modelo financiero para la estructuración de la oferta.</t>
  </si>
  <si>
    <t>Verificar costos de derechos de autor y propiedad intelectual, contemplar en el modelos financiero para la estructuración de la oferta.</t>
  </si>
  <si>
    <t>Verificar costos y tiempos de trámite de licencias y permisos, contemplar en el modelo financiero para la estructuración de la oferta y asignar holguras en el cronograma de actividades.</t>
  </si>
  <si>
    <t>Verificar costos de origen impositivo y contemplar en el modelo financiero para la estructuración de la oferta.</t>
  </si>
  <si>
    <t>Verificar disponibilidad de servicios públicos frente a las necesidades del contrato, establecer medios alterno de suministro en caso de ser necesario, considerar costos en el modelo financiero para la estructuración de la oferta.</t>
  </si>
  <si>
    <t>Verificar disponibilidad de nuevos desarrollos tecnológicos frente a las necesidades del contrato, establecer viabilidad de implementación, considerar costos en el modelo financiero para la estructuración de la oferta.</t>
  </si>
  <si>
    <t>Verificar disponibilidad y estado de equipos y herramientas necesarios para la ejecución del contrato, establecer planes de mantenimiento y regímenes de operación de acuerdo con las recomendaciones del fabricante.</t>
  </si>
  <si>
    <t>Verificar tiempos de recorridos, establecer rutas alternas, contemplar holguras en el cronograma para las actividades de la ruta crítica.</t>
  </si>
  <si>
    <t>Verificar medios y/o proveedores alternos de equipos y herramientas para ejecutar las actividades.</t>
  </si>
  <si>
    <t>Establecer términos y condiciones de idoneidad de subcontratistas.Establecer cláusulas de ajuste y de salida en subcontratos. Establecer cláusulas penales en subcontratos. Requerir garantías a subcontratistas.</t>
  </si>
  <si>
    <t>Establecer términos y condiciones de idoneidad de proveedores.Establecer acuerdos de precios y cantidades de suministro. Establecer clausulas penales y requerir garantías a proveedores.</t>
  </si>
  <si>
    <t>Establecer alcance y responsabilidades de filiales con respecto al contrato.</t>
  </si>
  <si>
    <t>Establecer alcance y responsabilidades de subordinadas con respecto al contrato.</t>
  </si>
  <si>
    <t xml:space="preserve">establecer los monitoreos necesarios de las condiciones de orden público presentes en la zona, programar holguras para las actividades de campo requeridas en el contrato, solicitar el acompañamiento de la fuerza pública en los casos que resulte necesario. </t>
  </si>
  <si>
    <t>establecer los monitoreos necesarios de las condiciones de orden público presentes en la zona, programar holguras para las actividades de campo requeridas en el contrato,</t>
  </si>
  <si>
    <t>Verificar condiciones de carácter cultural y religioso presentes en la zona, incluir en plan de gestión de los interesados procedimiento para el relacionamiento con comunidades.</t>
  </si>
  <si>
    <t>Monitorear comportamiento de los tipos de interés, considerar costos financieros en el modelo para la estructuración de la oferta.</t>
  </si>
  <si>
    <t>Monitorear comportamiento del tipo de cambio. Contratar coberturas cambiarias. Considerar costos de las coberturas cambiarias en el modelo financiero para la estructuración de la oferta.</t>
  </si>
  <si>
    <t>Monitorear comportamiento de la inflación, considerar costos financieros en el modelo para la estructuración de la oferta.</t>
  </si>
  <si>
    <t>Validar supuestos en la estimación del presupuesto, determinar supuestos críticos, establecer reserva de contingencia respectiva.</t>
  </si>
  <si>
    <t>Incluir en el plan de trabajo como ítem crítico de control el seguimiento del estado de las condiciones geológicas. Verificar actividades de la ruta crítica con mayor exposición, incrementar holguras en las de mayor incidencia.</t>
  </si>
  <si>
    <t>Incluir en el plan de trabajo como ítem crítico de control el seguimiento del estado de las condiciones freáticas. Verificar actividades de la ruta crítica con mayor exposición, incrementar holguras en las de mayor incidencia.</t>
  </si>
  <si>
    <t>Incluir en el plan de trabajo como ítem crítico de control el seguimiento del estado de las condiciones Hidrológicas. Verificar actividades de la ruta crítica con mayor exposición, incrementar holguras en las de mayor incidencia.</t>
  </si>
  <si>
    <t>Incluir en el plan de trabajo como ítem crítico de control el seguimiento del estado de las condiciones climáticas. Verificar actividades de la ruta crítica con mayor exposición, incrementar holguras en las de mayor incidencia.</t>
  </si>
  <si>
    <t>Incluir en el plan de trabajo como ítem crítico de control el seguimiento del estado de las condiciones de propensión a incendios forestales. Verificar actividades de la ruta crítica con mayor exposición, incrementar holguras en las de mayor incidencia.</t>
  </si>
  <si>
    <t>Incluir en el plan de trabajo como ítem crítico de control el seguimiento del estado factores vectores biológicos o patológicos presentes en la zona de ejecución de actividades. Verificar actividades de la ruta crítica con mayor exposición, incrementar holguras en las de mayor incidencia.</t>
  </si>
  <si>
    <t>Incluir en el plan de trabajo como ítem crítico de control el seguimiento del estado factores vectores como roedores,insectos y demás animales presentes en la zona de ejecución de actividades, con potencialidad de afectar la ejecución de las mismas. Verificar actividades de la ruta crítica con mayor exposición, incrementar holguras en las de mayor incidencia.</t>
  </si>
  <si>
    <t>Establecer plan de gestión de salud y seguridad en el trabajo. Validar afiliaciones al SGSS. Contar con póliza de responsabilidad civil extracontractual con amparo patronal.</t>
  </si>
  <si>
    <t>Contar con personal de respaldo para cubrir ausencias. Contemplar costos en el rubro de contingencias.</t>
  </si>
  <si>
    <t>Contar con plan de respaldo. Contemplar costos en el rubro de contingencias.</t>
  </si>
  <si>
    <t>Establecer en plan de trabajo capacitación del personal, validación de competencias, e indicadores de desempeño. Incluir en contratos obligaciones de respondabilidad sobre los bienes entregados en custodia. Contar con póliza TRDM.</t>
  </si>
  <si>
    <t>Establecer planes de mantenimiento y regímenes de operación de conformidad con lo establecido en los manuales de operación del fabricante. Contratar póliza TRDM.</t>
  </si>
  <si>
    <t>Establecer monitoreos de puntos críticos. Contratar póliza TRDM.</t>
  </si>
  <si>
    <t>Verificar procesos y procedimiento, establecer monitoreo y control de actividades críticas, considerar en el rubro de contingencias costos de no calidad.</t>
  </si>
  <si>
    <t>Establecer sistema de vigilancia en las locaciones del contrato. Establecer barreras de acceso y controles de ingreso. Establecer zonas de acceso restringido. Establecer identificación de personal y visitantes. Establecer cadena de custodia y responsabilidad de los bienes. Contar con póliza TRDM.</t>
  </si>
  <si>
    <t>Verificar condiciones del entorno presentes en la zona, Verificar actividades de la ruta crítica con mayor exposición, incrementar holguras en las de mayor incidencia.</t>
  </si>
  <si>
    <t>Verificar condiciones macroeconómicas presentes al momento de preparar la oferta, realizar proyecciones, considerar holguras en los supuestos fundamentales.</t>
  </si>
  <si>
    <t>Establecer métodos y procedimientos, verificar capacidades y habilidades del personal, establecer cadena de supervisión y niveles de decisión.</t>
  </si>
  <si>
    <t>Accidentes laborales menor</t>
  </si>
  <si>
    <t>Accidentes laborales mayor</t>
  </si>
  <si>
    <t xml:space="preserve">Accidentes - daños y lesiones o muerte de terceros - </t>
  </si>
  <si>
    <t>Daños y perjuicios a otros Contratistas</t>
  </si>
  <si>
    <t>Necesidades de reprocesos por fallas, errores o insuficiencias en las actividades de control de ejecución del contrato principal</t>
  </si>
  <si>
    <t>Daño o pérdida de Equipos y vehiculos utilizados durante la ejecucion del contrato</t>
  </si>
  <si>
    <t>Terminación anticipada del contrato objeto de Interventoría</t>
  </si>
  <si>
    <t>Terminación anticipada por aplicación de condición resolutoria</t>
  </si>
  <si>
    <t>Afiliación SGSS y Amparo Responsabilidad civil Patronal</t>
  </si>
  <si>
    <t>Contemplar costos y comprar seguros suficientes RC Cruzada</t>
  </si>
  <si>
    <t>Contar con plan de contingencia</t>
  </si>
  <si>
    <t>Contemplar costos en la oferta</t>
  </si>
  <si>
    <t>Tratamiento</t>
  </si>
  <si>
    <t>Demoras en la recopilación de insumos e información para la elaboración de entregables</t>
  </si>
  <si>
    <t>Necesidad de reforzar dedicación de recursos para evitar retrasos en el cronograma de actividades  por causas imputables al contratista</t>
  </si>
  <si>
    <t>Agotamiento del presupuesto antes del cumplimiento del plazo contractual en tiempo</t>
  </si>
  <si>
    <t>Contar con plan de contingencia y continuidad del proyecto</t>
  </si>
  <si>
    <t>Contar con plan de contingencia y comprar seguros suficientes</t>
  </si>
  <si>
    <t>ENTerritorio</t>
  </si>
  <si>
    <t>Daños a la obra no entregada</t>
  </si>
  <si>
    <t>Daños a la obra entregada pero que se encuentra bajo la custodia y control del contratista</t>
  </si>
  <si>
    <t>Necesidades de reprocesos por fallas o errores en la ejecución de las obras</t>
  </si>
  <si>
    <t>Demoras y reprocesos generados en las actividades de  integración de los frentes de obra</t>
  </si>
  <si>
    <t>Menores ingresos por menores cantidades de obra requeridas en el proyecto.</t>
  </si>
  <si>
    <t>Necesidad de recuperaciones o reparaciones ambientales con ocasión del debido tratamiento de residuos, basuras y escombros y en general en la aplicación del plan de gestión ambiental.</t>
  </si>
  <si>
    <t>Contar con plan de contingencia y continuidad del proyecto. Contratar poliza TRDM obras civiles en construcción</t>
  </si>
  <si>
    <t>Agotamiento de Bolsa Componente Predial</t>
  </si>
  <si>
    <t>Agotamiento de Bolsa Ensayos</t>
  </si>
  <si>
    <t>Terminacion anticipada del contrato por inviabilidad de las fases o etapas subsiguientes.</t>
  </si>
  <si>
    <t>Daños a propiedades adyacentes u obras y estructuras existentes.</t>
  </si>
  <si>
    <t>Contar con plan de contingencia y continuidad del proyecto. Contratar poliza TRDM obras civiles existentes</t>
  </si>
  <si>
    <t>Mayores cantidades de obra e items no previstos por causas imputables al contratista</t>
  </si>
  <si>
    <t>Mayores cantidades de obra e ítems no previstos por causas no imputables al contratista, verificado por la interventoría y aprobado por ENTerritorio</t>
  </si>
  <si>
    <t>Verificar viabilidad presupuestal para la realización de los cambios</t>
  </si>
  <si>
    <t>Daño o pérdida de producto en inventario o transporte</t>
  </si>
  <si>
    <t>Necesidades de reprocesos por fallas o errores en la ejecución de entregas</t>
  </si>
  <si>
    <t>Reprogramaciones de actividades por necesidades del proyecto.</t>
  </si>
  <si>
    <t>Delitos Informáticos (Todos aquellos contemplados en la ley 1273 de 2009)</t>
  </si>
  <si>
    <t>Daños y perjuicios derivado de fallas en la oportunidad y disponibilidad del Software por causas imputables al contratista</t>
  </si>
  <si>
    <t xml:space="preserve">Necesidad de reforzar dedicación de recursos para solventar picos de demanda de soporte y actualización del software. </t>
  </si>
  <si>
    <t xml:space="preserve">Daños y perjuicios por interrupciones o fallas en los servicios de la infraestructura arrendada </t>
  </si>
  <si>
    <t xml:space="preserve">Daños o deterioros del inmueble derivados del uso normal o por el paso del tiempo </t>
  </si>
  <si>
    <t>Daños o deterioros por mal uso del inmueble imputables a ENTerritorio</t>
  </si>
  <si>
    <t>ENTerriorio</t>
  </si>
  <si>
    <t>Retrasos por Documentación  y protocolos técnicos de migración; incompletos o defectuosos debido a la forma como plantea los requerimientos del contratista entrante.</t>
  </si>
  <si>
    <t>Retrasos por Documentación  y protocolos técnicos de migración; incompletos o defectuosos debido a la forma como responde los requerimientos el área responsable de ENTerritorio.</t>
  </si>
  <si>
    <t>Retrasos por incompatibilidad o deficiencias en la configuración de equipos ( hardware y software) entrante.</t>
  </si>
  <si>
    <t>Retrasos por fallas o errores en la restauración de back ups</t>
  </si>
  <si>
    <t>Retrasos por falta de diligencia del área de ENTerritorio responsable para el suministro de documentación  y protocolos técnicos de migración.</t>
  </si>
  <si>
    <t>Retrasos por omisión de parte del contratista entrante en el proceso de documentación  y protocolos técnicos de migración.</t>
  </si>
  <si>
    <t>Errores, imprecisiones o falla por parte del contratista al identificar los requisitos funcionales y técnicos requeridos para la Solución.</t>
  </si>
  <si>
    <t>Necesidad de repetición de actividades de transferencia de conocimiento por insuficiencia en la apropiación del conocimiento del personal entrenado</t>
  </si>
  <si>
    <t>Menores ingresos por menores cantidades de actividad requieridas por la entidad.</t>
  </si>
  <si>
    <t>Agotamiento del rubro de actividades por bolsa antes del cumplimiento del plazo contractual.</t>
  </si>
  <si>
    <t xml:space="preserve">Contar con plan de contingencia </t>
  </si>
  <si>
    <t>Infidelidad, fraudes y robo contra los recursos, cometidos por empleados de la entidad fiduciaria o terceros</t>
  </si>
  <si>
    <t>Fraudes y robos electrónicos, cometidos contra los valores del encargo fiduciario</t>
  </si>
  <si>
    <t>Errores y omisiones imputables a la entidad fiduciaria, que impacten los recursos del Fondo a su cargo</t>
  </si>
  <si>
    <t>Constar que cuenta con un seguro Banker´s Blanket Bond, -BBB</t>
  </si>
  <si>
    <t>Constar que cuenta con un seguro Banker´s Blanket Bond, -BBB
Cobertura "Professional Indemnity"</t>
  </si>
  <si>
    <t>Daños y perjuicios a terceros por errores u omisiones de la Fiducia en el manejo de los recursos</t>
  </si>
  <si>
    <t>Pérdida de confidencialidad, integridad y disponibilidad de la Información de documentos y planos suministrada por ENTerritorio en desarrollo de las actividades objeto del contrato.</t>
  </si>
  <si>
    <t xml:space="preserve">Identificación de faltantes en los documentos entregados por ENTerritorio generando reprocesos en las actividades. </t>
  </si>
  <si>
    <t>Menores cantidades de servicio por menores necesidades de la entidad.</t>
  </si>
  <si>
    <t xml:space="preserve">Daño o pérdida de equipos entregados para  calibración y/o mantenimiento </t>
  </si>
  <si>
    <t>Falla en el protocolo de administración y control de armamento y distintivos</t>
  </si>
  <si>
    <t>Falla en los protocolos de supervisión</t>
  </si>
  <si>
    <t>Falla en los protocolos de validación de capacidades y habilidades del personal</t>
  </si>
  <si>
    <t>Falla en la verificación de la efectividad de las capacitaciones al personal</t>
  </si>
  <si>
    <t>Necesidad de recuperaciones o reparaciones ambientales por fallas u omisiones del contratista en la disposición de residuos derivados de las actividades de mantenimiento</t>
  </si>
  <si>
    <t>Fallas en la oportunidad y disponibilidad en la puesta en operación de los equipos.</t>
  </si>
  <si>
    <t>Fallas en la oportunidad y disponibilidad en la prestación de servicios de mantenimiento de los equipos.</t>
  </si>
  <si>
    <t>Aplicación</t>
  </si>
  <si>
    <t>Todos tipo de contrato si hay actividades presenciales y/o visitas de campo</t>
  </si>
  <si>
    <t>Contrato de Interventoría</t>
  </si>
  <si>
    <t>Todos tipo de contrato que requiera uso de equipos y vehículos.</t>
  </si>
  <si>
    <t>Todos tipo de contrato que tenga condición resolutoria</t>
  </si>
  <si>
    <t>Contrato de Consultoría</t>
  </si>
  <si>
    <t>Todo tipo de contrato que tenga cronograma pactado</t>
  </si>
  <si>
    <t>Todo tipo de contrato que tenga rubro por bolsa agotable</t>
  </si>
  <si>
    <t>Contrato de obra o mantenimiento en el que existan propiedades adyacentes u obras existentes susceptibles de daño</t>
  </si>
  <si>
    <t>Contrato de obra</t>
  </si>
  <si>
    <t>Todo tipo de contrato cuyas actividades puedan generar daños ambientales.</t>
  </si>
  <si>
    <t>Todo contrato que se ejecute por etapas o fases y la ejecución de la fase subsiguiente depende del resultado de la etapa precedente.</t>
  </si>
  <si>
    <t>Todo tipo de contrato que contemple bolsa de componente predial</t>
  </si>
  <si>
    <t>Todo tipo de contrato que contemple bolsa para ensayos</t>
  </si>
  <si>
    <t>Contratos de suministro o compraventa</t>
  </si>
  <si>
    <t>Todo tipo de contrato en el marco de un proyecto</t>
  </si>
  <si>
    <t>Contratos que contemplen componente importante o inherente de Tecnologías de la Información</t>
  </si>
  <si>
    <t>Contrato de arrendamiento</t>
  </si>
  <si>
    <t>Todo tipo de contrato en el que las cantidades requeridas por la entidad de bienes o servicios sea variable.</t>
  </si>
  <si>
    <t>Todo tipo de contrato que contemple bolsa de monto agotable.</t>
  </si>
  <si>
    <t>Todo tipo de contrato que contemple actividades de capacitación</t>
  </si>
  <si>
    <t>Contrato de servicios financieros</t>
  </si>
  <si>
    <t>Menor monto de recursos administrados en el encargo fiduciario, por menores necesidades del proyecto</t>
  </si>
  <si>
    <t>Contrato que contemple como compoenente importante la gestión de documentos de la entidad</t>
  </si>
  <si>
    <t>Contrato de mantenimiento o calibración de equipos</t>
  </si>
  <si>
    <t>Contrato de vigilancia</t>
  </si>
  <si>
    <t>Contrato que contemple actividades de disposición de residuos con tratamientos especiales de los mismos.</t>
  </si>
  <si>
    <t>Contrato que contempla instalacióny puesta a punto de equipos</t>
  </si>
  <si>
    <t>RESULTADOS INCIDENCIAS POR FACTOR DE RIESGOS Y TRATAMIENTOS SUGERIDOS</t>
  </si>
  <si>
    <t>CATÁLOGO DE TRATAMIENTOS DE RIESGO</t>
  </si>
  <si>
    <r>
      <rPr>
        <sz val="11"/>
        <color rgb="FFFF0000"/>
        <rFont val="Calibri"/>
        <family val="2"/>
        <scheme val="minor"/>
      </rPr>
      <t>*</t>
    </r>
    <r>
      <rPr>
        <sz val="11"/>
        <color theme="1"/>
        <rFont val="Calibri"/>
        <family val="2"/>
        <scheme val="minor"/>
      </rPr>
      <t xml:space="preserve"> El primer grupo de preguntas indaga sobre el grado de complejidad de las actividades a realizar.</t>
    </r>
  </si>
  <si>
    <r>
      <rPr>
        <sz val="11"/>
        <color rgb="FFFF0000"/>
        <rFont val="Calibri"/>
        <family val="2"/>
        <scheme val="minor"/>
      </rPr>
      <t>*</t>
    </r>
    <r>
      <rPr>
        <sz val="11"/>
        <color theme="1"/>
        <rFont val="Calibri"/>
        <family val="2"/>
        <scheme val="minor"/>
      </rPr>
      <t xml:space="preserve"> El segundo grupo d preguntas indaga sobre el grado de complejidad de la paticipación del recurso humano.</t>
    </r>
  </si>
  <si>
    <r>
      <rPr>
        <sz val="11"/>
        <color rgb="FFFF0000"/>
        <rFont val="Calibri"/>
        <family val="2"/>
        <scheme val="minor"/>
      </rPr>
      <t>*</t>
    </r>
    <r>
      <rPr>
        <sz val="11"/>
        <color theme="1"/>
        <rFont val="Calibri"/>
        <family val="2"/>
        <scheme val="minor"/>
      </rPr>
      <t xml:space="preserve"> El tercer grupo de preguntas indaga sobre el grado de complejidad de las actividades de transporte.</t>
    </r>
  </si>
  <si>
    <r>
      <rPr>
        <sz val="11"/>
        <color rgb="FFFF0000"/>
        <rFont val="Calibri"/>
        <family val="2"/>
        <scheme val="minor"/>
      </rPr>
      <t>*</t>
    </r>
    <r>
      <rPr>
        <sz val="11"/>
        <color theme="1"/>
        <rFont val="Calibri"/>
        <family val="2"/>
        <scheme val="minor"/>
      </rPr>
      <t xml:space="preserve"> El cuarto grupo de preguntas indaga si hay actividades que involucren la manipulación de alimentos o medicamentos.</t>
    </r>
  </si>
  <si>
    <r>
      <rPr>
        <sz val="11"/>
        <color rgb="FFFF0000"/>
        <rFont val="Calibri"/>
        <family val="2"/>
        <scheme val="minor"/>
      </rPr>
      <t>*</t>
    </r>
    <r>
      <rPr>
        <sz val="11"/>
        <color theme="1"/>
        <rFont val="Calibri"/>
        <family val="2"/>
        <scheme val="minor"/>
      </rPr>
      <t xml:space="preserve"> El quinto grupo de preguntas indaga sobre la complejidad de los materiales e insumos a utilizar en la ejecución del contrato.</t>
    </r>
  </si>
  <si>
    <r>
      <rPr>
        <sz val="11"/>
        <color rgb="FFFF0000"/>
        <rFont val="Calibri"/>
        <family val="2"/>
        <scheme val="minor"/>
      </rPr>
      <t>*</t>
    </r>
    <r>
      <rPr>
        <sz val="11"/>
        <color theme="1"/>
        <rFont val="Calibri"/>
        <family val="2"/>
        <scheme val="minor"/>
      </rPr>
      <t xml:space="preserve"> El sexto grupo de preguntas indaga sobre la complejidad de los servicios conexos necesarios para la ejecución del contrato.</t>
    </r>
  </si>
  <si>
    <r>
      <rPr>
        <sz val="11"/>
        <color rgb="FFFF0000"/>
        <rFont val="Calibri"/>
        <family val="2"/>
        <scheme val="minor"/>
      </rPr>
      <t>*</t>
    </r>
    <r>
      <rPr>
        <sz val="11"/>
        <color theme="1"/>
        <rFont val="Calibri"/>
        <family val="2"/>
        <scheme val="minor"/>
      </rPr>
      <t xml:space="preserve"> El séptimo grupo de preguntas indaga sobre la complejidad del direccionamiento y gestión necesarios para la ejecución del contrato.</t>
    </r>
  </si>
  <si>
    <r>
      <rPr>
        <sz val="11"/>
        <color rgb="FFFF0000"/>
        <rFont val="Calibri"/>
        <family val="2"/>
        <scheme val="minor"/>
      </rPr>
      <t>*</t>
    </r>
    <r>
      <rPr>
        <sz val="11"/>
        <color theme="1"/>
        <rFont val="Calibri"/>
        <family val="2"/>
        <scheme val="minor"/>
      </rPr>
      <t xml:space="preserve"> El octavo grupo de preguntas indaga sobre la complejidad en cuanto a máquinas, equipos y vehículos necesarios para la ejecución del contrato.</t>
    </r>
  </si>
  <si>
    <r>
      <rPr>
        <sz val="11"/>
        <color rgb="FFFF0000"/>
        <rFont val="Calibri"/>
        <family val="2"/>
        <scheme val="minor"/>
      </rPr>
      <t>*</t>
    </r>
    <r>
      <rPr>
        <sz val="11"/>
        <color theme="1"/>
        <rFont val="Calibri"/>
        <family val="2"/>
        <scheme val="minor"/>
      </rPr>
      <t xml:space="preserve"> El noveno grupo de preguntas indaga sobre la complejidad de actividades de campo.</t>
    </r>
  </si>
  <si>
    <r>
      <rPr>
        <sz val="11"/>
        <color rgb="FFFF0000"/>
        <rFont val="Calibri"/>
        <family val="2"/>
        <scheme val="minor"/>
      </rPr>
      <t xml:space="preserve">* </t>
    </r>
    <r>
      <rPr>
        <sz val="11"/>
        <color theme="1"/>
        <rFont val="Calibri"/>
        <family val="2"/>
        <scheme val="minor"/>
      </rPr>
      <t>El décimo grupo de preguntas indaga sobre la complejidad de actividades de obra.</t>
    </r>
  </si>
  <si>
    <t>Valoración de Probabilidades y Consecuencias:</t>
  </si>
  <si>
    <r>
      <t>Con base en la información suministrada en la pestaña datos generales, contexto y descripción de actividades, el algoritmo entregará valores de probabilidad y consecuencia sugeridos para cada etapa o fase y para cada ítem de presupuesto ingresado.
En la pestaña</t>
    </r>
    <r>
      <rPr>
        <b/>
        <u/>
        <sz val="11"/>
        <color theme="1"/>
        <rFont val="Calibri"/>
        <family val="2"/>
        <scheme val="minor"/>
      </rPr>
      <t xml:space="preserve"> cap.7 - analisis riesgos </t>
    </r>
    <r>
      <rPr>
        <b/>
        <sz val="11"/>
        <color theme="1"/>
        <rFont val="Calibri"/>
        <family val="2"/>
        <scheme val="minor"/>
      </rPr>
      <t>el usuario deberá revisar los valores sugeridos por el algoritmo y si está de acuerdo con la valoración confirmarla o modificarla si a juicio del analista tales valoraciones no están acordes con su conocimiento y experiencia.</t>
    </r>
  </si>
  <si>
    <r>
      <t>Para cada una de las etapas o fases del contrato, conteste las preguntas que hay en la</t>
    </r>
    <r>
      <rPr>
        <u/>
        <sz val="11"/>
        <color theme="1"/>
        <rFont val="Calibri"/>
        <family val="2"/>
        <scheme val="minor"/>
      </rPr>
      <t xml:space="preserve"> </t>
    </r>
    <r>
      <rPr>
        <b/>
        <u/>
        <sz val="11"/>
        <color theme="1"/>
        <rFont val="Calibri"/>
        <family val="2"/>
        <scheme val="minor"/>
      </rPr>
      <t>pestaña Descripción de Actividades</t>
    </r>
    <r>
      <rPr>
        <b/>
        <sz val="11"/>
        <color theme="1"/>
        <rFont val="Calibri"/>
        <family val="2"/>
        <scheme val="minor"/>
      </rPr>
      <t>,</t>
    </r>
    <r>
      <rPr>
        <sz val="11"/>
        <color theme="1"/>
        <rFont val="Calibri"/>
        <family val="2"/>
        <scheme val="minor"/>
      </rPr>
      <t xml:space="preserve"> seleccionando las respuesta de las listas desplegables dispuestas para cada pregunta.</t>
    </r>
  </si>
  <si>
    <r>
      <t xml:space="preserve">Conteste las preguntas que hay en la </t>
    </r>
    <r>
      <rPr>
        <b/>
        <u/>
        <sz val="11"/>
        <color theme="1"/>
        <rFont val="Calibri"/>
        <family val="2"/>
        <scheme val="minor"/>
      </rPr>
      <t>pestaña contexto</t>
    </r>
    <r>
      <rPr>
        <sz val="11"/>
        <color theme="1"/>
        <rFont val="Calibri"/>
        <family val="2"/>
        <scheme val="minor"/>
      </rPr>
      <t>, seleccionando las respuesta de las listas desplegables dispuestas para cada pregunta.</t>
    </r>
  </si>
  <si>
    <t>Otros Riesgos:</t>
  </si>
  <si>
    <t>Incidencias Factores de Riesgo y Determinación del Tratamiento Sugerido:</t>
  </si>
  <si>
    <r>
      <t xml:space="preserve">En la pestaña </t>
    </r>
    <r>
      <rPr>
        <b/>
        <u/>
        <sz val="11"/>
        <color theme="1"/>
        <rFont val="Calibri"/>
        <family val="2"/>
        <scheme val="minor"/>
      </rPr>
      <t>Catalogo Otros Riesgos</t>
    </r>
    <r>
      <rPr>
        <sz val="11"/>
        <color theme="1"/>
        <rFont val="Calibri"/>
        <family val="2"/>
        <scheme val="minor"/>
      </rPr>
      <t xml:space="preserve"> se encuentra una lista de otros riesgos que puedan ser considerados de acuerdo con las obligaciones específicas de cada contrato. Para verificar qué riesgos debe considerar, revise el alcance del objeto del contrato y las obligaciones específicas del mismo y de acuerdo con la naturaleza de las mismas identifique la aplicabilidad de los otros riesgos, inclúyalos en la tabla de otros riesgos en la </t>
    </r>
    <r>
      <rPr>
        <b/>
        <u/>
        <sz val="11"/>
        <color theme="1"/>
        <rFont val="Calibri"/>
        <family val="2"/>
        <scheme val="minor"/>
      </rPr>
      <t>pestaña cap.7 - analisis riesgos</t>
    </r>
    <r>
      <rPr>
        <sz val="11"/>
        <color theme="1"/>
        <rFont val="Calibri"/>
        <family val="2"/>
        <scheme val="minor"/>
      </rPr>
      <t xml:space="preserve">, estime la probabilidad y la consecuencia respectiva en concordancia con la naturaleza del riesgo a incluir e indique la asignación del riesgo de acuerdo con lo indicado en la </t>
    </r>
    <r>
      <rPr>
        <b/>
        <u/>
        <sz val="11"/>
        <color theme="1"/>
        <rFont val="Calibri"/>
        <family val="2"/>
        <scheme val="minor"/>
      </rPr>
      <t>pestaña Catálogo Otros Riesgos.</t>
    </r>
  </si>
  <si>
    <t>Traslado de información al documento de Análisis de Riesgos:</t>
  </si>
  <si>
    <t xml:space="preserve">Una vez obtenidos todos los resultados incorpórelos al documento de word así:
</t>
  </si>
  <si>
    <t>* Traslade la información de otros riesgos al documento de análisis de riesgos.</t>
  </si>
  <si>
    <r>
      <t xml:space="preserve">Para los casos en los que las condiciones del contexto no sean relevantes para el cumplimiento del contrato, por su sencillez y baja complejidad, no es necesario profundizar en las condiciones del contexto y </t>
    </r>
    <r>
      <rPr>
        <b/>
        <u/>
        <sz val="12"/>
        <color rgb="FFFF0000"/>
        <rFont val="Calibri"/>
        <family val="2"/>
        <scheme val="minor"/>
      </rPr>
      <t>deben quedar seleccionados en las respuestas los textos que comienzan con el número 1. Esto es impresindible, de lo contrario el modelo puede arrojar resultados erróneos.</t>
    </r>
    <r>
      <rPr>
        <b/>
        <sz val="11"/>
        <color theme="1"/>
        <rFont val="Calibri"/>
        <family val="2"/>
        <scheme val="minor"/>
      </rPr>
      <t xml:space="preserve">
</t>
    </r>
    <r>
      <rPr>
        <b/>
        <sz val="11"/>
        <color rgb="FFFF0000"/>
        <rFont val="Calibri"/>
        <family val="2"/>
        <scheme val="minor"/>
      </rPr>
      <t xml:space="preserve">NOTA: </t>
    </r>
    <r>
      <rPr>
        <b/>
        <sz val="11"/>
        <color theme="1"/>
        <rFont val="Calibri"/>
        <family val="2"/>
        <scheme val="minor"/>
      </rPr>
      <t>La evaluación del contexto es una sola para todo el contrato.</t>
    </r>
  </si>
  <si>
    <r>
      <t xml:space="preserve">* Traslade la información de las incidencias de cada factor de riesgos </t>
    </r>
    <r>
      <rPr>
        <b/>
        <u/>
        <sz val="11"/>
        <color theme="1"/>
        <rFont val="Calibri"/>
        <family val="2"/>
        <scheme val="minor"/>
      </rPr>
      <t>en el capítulo 4 del documento de análisis de riesgos</t>
    </r>
    <r>
      <rPr>
        <sz val="11"/>
        <color theme="1"/>
        <rFont val="Calibri"/>
        <family val="2"/>
        <scheme val="minor"/>
      </rPr>
      <t xml:space="preserve"> en el respectivo factor de riesgos, así como el aspecto en el que se refleja la mayor incidencia.</t>
    </r>
  </si>
  <si>
    <r>
      <t>* Traslade la información del tratamiento sugerido</t>
    </r>
    <r>
      <rPr>
        <b/>
        <u/>
        <sz val="11"/>
        <color theme="1"/>
        <rFont val="Calibri"/>
        <family val="2"/>
        <scheme val="minor"/>
      </rPr>
      <t xml:space="preserve"> en el capítulo 4 del documento de análisis de riesgos</t>
    </r>
    <r>
      <rPr>
        <sz val="11"/>
        <color theme="1"/>
        <rFont val="Calibri"/>
        <family val="2"/>
        <scheme val="minor"/>
      </rPr>
      <t>, en el respectivo factor de riesgos.</t>
    </r>
  </si>
  <si>
    <t xml:space="preserve">Contexto Demográfico, Socio-Político y de Orden Público: </t>
  </si>
  <si>
    <r>
      <t xml:space="preserve">En la </t>
    </r>
    <r>
      <rPr>
        <b/>
        <u/>
        <sz val="11"/>
        <color theme="1"/>
        <rFont val="Calibri"/>
        <family val="2"/>
        <scheme val="minor"/>
      </rPr>
      <t>pestaña de resultados de Incidencias y Tratamientos</t>
    </r>
    <r>
      <rPr>
        <sz val="11"/>
        <color theme="1"/>
        <rFont val="Calibri"/>
        <family val="2"/>
        <scheme val="minor"/>
      </rPr>
      <t xml:space="preserve"> el algoritmo arroja los eventos que pueden presentar las mayores incidencias en la ejecución del contrato y que se van a destacar en el documento de análisis de riesgos. Así mismo presenta en qué aspecto del contrato se van a reflejar tales incidencias.
Igualmente en la </t>
    </r>
    <r>
      <rPr>
        <b/>
        <u/>
        <sz val="11"/>
        <color theme="1"/>
        <rFont val="Calibri"/>
        <family val="2"/>
        <scheme val="minor"/>
      </rPr>
      <t>pestaña resultados de Incidencias y Tratamientos</t>
    </r>
    <r>
      <rPr>
        <sz val="11"/>
        <color theme="1"/>
        <rFont val="Calibri"/>
        <family val="2"/>
        <scheme val="minor"/>
      </rPr>
      <t xml:space="preserve"> el algoritmo arroja el tratamiento sugerido para cada caso en concordancia con la tipología de la incidencia y el aspecto en el cual se refleja.
Esta información la toma el algoritmo del catálogo de tratamientos.
</t>
    </r>
    <r>
      <rPr>
        <sz val="11"/>
        <color rgb="FFFF0000"/>
        <rFont val="Calibri"/>
        <family val="2"/>
        <scheme val="minor"/>
      </rPr>
      <t>NOTA</t>
    </r>
    <r>
      <rPr>
        <sz val="11"/>
        <color theme="1"/>
        <rFont val="Calibri"/>
        <family val="2"/>
        <scheme val="minor"/>
      </rPr>
      <t xml:space="preserve">: Si de acuerdo con el conocimiento y experticia del analista se deben agregar otros tratamientos los puede incorporar.
</t>
    </r>
  </si>
  <si>
    <t>Incidencias</t>
  </si>
  <si>
    <r>
      <t xml:space="preserve">* Traslade la información la tabla de riesgos de cada factor de riesgos </t>
    </r>
    <r>
      <rPr>
        <b/>
        <u/>
        <sz val="11"/>
        <color theme="1"/>
        <rFont val="Calibri"/>
        <family val="2"/>
        <scheme val="minor"/>
      </rPr>
      <t>en el capítulo 4 del documento de análisis de riesgos</t>
    </r>
    <r>
      <rPr>
        <sz val="11"/>
        <color theme="1"/>
        <rFont val="Calibri"/>
        <family val="2"/>
        <scheme val="minor"/>
      </rPr>
      <t xml:space="preserve"> en el respectivo factor de riesgos.</t>
    </r>
  </si>
  <si>
    <t>Tabla de riesgos</t>
  </si>
  <si>
    <t>Otros riesgos:</t>
  </si>
  <si>
    <t>1.</t>
  </si>
  <si>
    <t>2.</t>
  </si>
  <si>
    <t>3.</t>
  </si>
  <si>
    <t>4.</t>
  </si>
  <si>
    <t>5.</t>
  </si>
  <si>
    <t>6.</t>
  </si>
  <si>
    <t>7.</t>
  </si>
  <si>
    <t>8.</t>
  </si>
  <si>
    <t>9.</t>
  </si>
  <si>
    <t>10.</t>
  </si>
  <si>
    <t>11.</t>
  </si>
  <si>
    <t>12.</t>
  </si>
  <si>
    <t>13.</t>
  </si>
  <si>
    <t>14.</t>
  </si>
  <si>
    <t>14.1</t>
  </si>
  <si>
    <t>14.2</t>
  </si>
  <si>
    <t>14.3</t>
  </si>
  <si>
    <t>14.4</t>
  </si>
  <si>
    <t>Contrato de Suministro:</t>
  </si>
  <si>
    <t>Contrato de Compra/venta:</t>
  </si>
  <si>
    <t>Costos del Bien Adquirido</t>
  </si>
  <si>
    <t>Contrato de ejecución instantánea:</t>
  </si>
  <si>
    <t>15.</t>
  </si>
  <si>
    <t>16.</t>
  </si>
  <si>
    <t>17.</t>
  </si>
  <si>
    <t>18.</t>
  </si>
  <si>
    <t>19.</t>
  </si>
  <si>
    <t>13.1</t>
  </si>
  <si>
    <t>13.2</t>
  </si>
  <si>
    <t>13.3</t>
  </si>
  <si>
    <t>13.4</t>
  </si>
  <si>
    <t>13.5</t>
  </si>
  <si>
    <t>13.6</t>
  </si>
  <si>
    <t>14.1.1</t>
  </si>
  <si>
    <t>14.1.2</t>
  </si>
  <si>
    <t>14.1.3</t>
  </si>
  <si>
    <t>19.1</t>
  </si>
  <si>
    <t>19.2</t>
  </si>
  <si>
    <t>19.3</t>
  </si>
  <si>
    <t>19.4</t>
  </si>
  <si>
    <t>Consultor</t>
  </si>
  <si>
    <t>Interventor</t>
  </si>
  <si>
    <t>Asociado</t>
  </si>
  <si>
    <t>Entidad Territorial</t>
  </si>
  <si>
    <t>Ejecutor</t>
  </si>
  <si>
    <t>https://www.taringa.net/+info/departamentos-de-colombia-por-pib-per-capita_hdxg8)</t>
  </si>
  <si>
    <t>https://www.coface.com/Economic-Studies-and-Country-Risks)</t>
  </si>
  <si>
    <t>https://www.credendo.com/country_risk_assessment/colombia/country-risk-assessment-colombia)</t>
  </si>
  <si>
    <t>Estimar posibles perjuicios y daños a terceros contratar seguros suficientes</t>
  </si>
  <si>
    <t>Necesidad de recuperaciones o reconstrucción de información digital o física de archivos e información relevante del proyecto por fallas en la integridad, disponibilidad y/o confiabilidad de la información.</t>
  </si>
  <si>
    <t>Todo contrato que contemple un volumen importante de generación de información en físico y digital</t>
  </si>
  <si>
    <t>Todo contrato que contemple realización de pruebas, ensayos y/o levantamiento de datos en campo, para posterior procesamiento.</t>
  </si>
  <si>
    <t>Necesidades de reprocesos por fallas o errores del contratista en la elaboración y entrega efectiva de los reportes</t>
  </si>
  <si>
    <t>Todo contrato que contemple la realización de reportes y/o informes periódicos.</t>
  </si>
  <si>
    <r>
      <t xml:space="preserve">Indique el número de ítems del presupuesto a utilizar en el análisis. 
Los ítems del presupuesto corresponden a los que estructuran el presupuesto y se pueden identificar en:
</t>
    </r>
    <r>
      <rPr>
        <sz val="11"/>
        <color rgb="FFFF0000"/>
        <rFont val="Calibri"/>
        <family val="2"/>
        <scheme val="minor"/>
      </rPr>
      <t>*</t>
    </r>
    <r>
      <rPr>
        <sz val="11"/>
        <color theme="1"/>
        <rFont val="Calibri"/>
        <family val="2"/>
        <scheme val="minor"/>
      </rPr>
      <t xml:space="preserve"> El presupuesto de obra.
</t>
    </r>
    <r>
      <rPr>
        <sz val="11"/>
        <color rgb="FFFF0000"/>
        <rFont val="Calibri"/>
        <family val="2"/>
        <scheme val="minor"/>
      </rPr>
      <t>*</t>
    </r>
    <r>
      <rPr>
        <sz val="11"/>
        <color theme="1"/>
        <rFont val="Calibri"/>
        <family val="2"/>
        <scheme val="minor"/>
      </rPr>
      <t xml:space="preserve"> El documento de costeo para la determinación del presupuesto con factor multiplicador.
</t>
    </r>
    <r>
      <rPr>
        <sz val="11"/>
        <color rgb="FFFF0000"/>
        <rFont val="Calibri"/>
        <family val="2"/>
        <scheme val="minor"/>
      </rPr>
      <t xml:space="preserve">* </t>
    </r>
    <r>
      <rPr>
        <sz val="11"/>
        <color theme="1"/>
        <rFont val="Calibri"/>
        <family val="2"/>
        <scheme val="minor"/>
      </rPr>
      <t xml:space="preserve">Los ítems identificables en los estudios de precios de mercado.
</t>
    </r>
    <r>
      <rPr>
        <b/>
        <sz val="11"/>
        <color rgb="FFFF0000"/>
        <rFont val="Calibri"/>
        <family val="2"/>
        <scheme val="minor"/>
      </rPr>
      <t>NOTA:</t>
    </r>
    <r>
      <rPr>
        <sz val="11"/>
        <color rgb="FFFF0000"/>
        <rFont val="Calibri"/>
        <family val="2"/>
        <scheme val="minor"/>
      </rPr>
      <t xml:space="preserve"> </t>
    </r>
    <r>
      <rPr>
        <sz val="11"/>
        <color theme="1"/>
        <rFont val="Calibri"/>
        <family val="2"/>
        <scheme val="minor"/>
      </rPr>
      <t xml:space="preserve">Si no es posible discriminar los ítems del presupuesto escriba: 1.
</t>
    </r>
    <r>
      <rPr>
        <b/>
        <sz val="11"/>
        <color theme="1"/>
        <rFont val="Calibri"/>
        <family val="2"/>
        <scheme val="minor"/>
      </rPr>
      <t>Numeral 8.3 de la Guía de Riesgos.</t>
    </r>
    <r>
      <rPr>
        <sz val="11"/>
        <color theme="1"/>
        <rFont val="Calibri"/>
        <family val="2"/>
        <scheme val="minor"/>
      </rPr>
      <t xml:space="preserve">
</t>
    </r>
  </si>
  <si>
    <r>
      <t xml:space="preserve">Identifique los nombres de las etapas o fases. Los siguientes ejemplos ilustran los posibles nombres de las etapas o fases.
</t>
    </r>
    <r>
      <rPr>
        <b/>
        <sz val="11"/>
        <color theme="1"/>
        <rFont val="Calibri"/>
        <family val="2"/>
        <scheme val="minor"/>
      </rPr>
      <t>Numeral 8.3 de la guía de riesgos.</t>
    </r>
  </si>
  <si>
    <t>Los espacios a Continuación se dejan disponibles para incluir otros riesgos y tratamientos que identifique el analista.</t>
  </si>
  <si>
    <t>Efectos en costos por el Contexto Natural</t>
  </si>
  <si>
    <t>Efectos en costos por el Contexto Geomorfológico</t>
  </si>
  <si>
    <t>Efectos en costos por el Contexto Ambiental</t>
  </si>
  <si>
    <t>Efectos en costos por el Contexto Macroeconómico</t>
  </si>
  <si>
    <t>Efectos en costos por el Contexto Sociopolítico</t>
  </si>
  <si>
    <t>Costo personal</t>
  </si>
  <si>
    <t>Costos indirectos</t>
  </si>
  <si>
    <t>PREFACTIBILIDAD</t>
  </si>
  <si>
    <t>Trabajos de Campo</t>
  </si>
  <si>
    <t>Contrato No. 3-1-99539 (2021596 ENTerritorio)</t>
  </si>
  <si>
    <t>Necesidad de repetir pruebas, ensayos, levantamientos por insuficiencia frente a los requisitos y/o especificaciones</t>
  </si>
  <si>
    <t>Cambios en costos de personal por ausentismos, incapacidades médicas, enfermedad, muerte de empleados y/o colaboradores del contratista derivados de factores biológicos o patológicos, epidemias, pandemias o sindemias.</t>
  </si>
  <si>
    <t>Menores ingresos por menor número de proyectos ejecutados en el marco del contrato por inviabilidad de uno o más proyectos.</t>
  </si>
  <si>
    <t>FACTIBILIDAD</t>
  </si>
  <si>
    <t>incrementos en los costos de insumos, materiales y equipos, así como una prolongación en la duración del proyecto</t>
  </si>
  <si>
    <t>ESTRUCTURACIÓN INTEGRAL PARA LOS ESTUDIOS Y DISEÑOS DE PROYECTOS VIALES PRIORIZADOS POR LA GOBERNACIÓN DEL TOLIMA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</si>
</sst>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 #,##0.00_-;\-&quot;$&quot;\ * #,##0.00_-;_-&quot;$&quot;\ * &quot;-&quot;??_-;_-@_-"/>
    <numFmt numFmtId="43" formatCode="_-* #,##0.00_-;\-* #,##0.00_-;_-* &quot;-&quot;??_-;_-@_-"/>
    <numFmt numFmtId="164" formatCode="0.0"/>
    <numFmt numFmtId="165" formatCode="_-[$$-240A]\ * #,##0.00_-;\-[$$-240A]\ * #,##0.00_-;_-[$$-240A]\ * &quot;-&quot;??_-;_-@_-"/>
    <numFmt numFmtId="166" formatCode="_-[$$-240A]\ * #,##0_-;\-[$$-240A]\ * #,##0_-;_-[$$-240A]\ * &quot;-&quot;??_-;_-@_-"/>
    <numFmt numFmtId="167" formatCode="_-&quot;$&quot;\ * #,##0_-;\-&quot;$&quot;\ * #,##0_-;_-&quot;$&quot;\ * &quot;-&quot;??_-;_-@_-"/>
  </numFmts>
  <fonts count="28" x14ac:knownFonts="1">
    <font>
      <sz val="11"/>
      <color theme="1"/>
      <name val="Calibri"/>
      <family val="2"/>
      <scheme val="minor"/>
    </font>
    <font>
      <sz val="11"/>
      <color theme="1"/>
      <name val="Calibri"/>
      <family val="2"/>
      <scheme val="minor"/>
    </font>
    <font>
      <sz val="11"/>
      <color theme="0"/>
      <name val="Calibri"/>
      <family val="2"/>
      <scheme val="minor"/>
    </font>
    <font>
      <b/>
      <sz val="12"/>
      <color theme="1"/>
      <name val="Calibri"/>
      <family val="2"/>
      <scheme val="minor"/>
    </font>
    <font>
      <sz val="11"/>
      <color rgb="FF000000"/>
      <name val="Calibri"/>
      <family val="2"/>
      <scheme val="minor"/>
    </font>
    <font>
      <sz val="11"/>
      <color rgb="FFFFFFFF"/>
      <name val="Calibri"/>
      <family val="2"/>
      <scheme val="minor"/>
    </font>
    <font>
      <sz val="11"/>
      <name val="Calibri"/>
      <family val="2"/>
      <scheme val="minor"/>
    </font>
    <font>
      <b/>
      <sz val="11"/>
      <color theme="0"/>
      <name val="Calibri"/>
      <family val="2"/>
      <scheme val="minor"/>
    </font>
    <font>
      <sz val="14"/>
      <color rgb="FFFF0000"/>
      <name val="Calibri"/>
      <family val="2"/>
      <scheme val="minor"/>
    </font>
    <font>
      <b/>
      <sz val="10"/>
      <color theme="1"/>
      <name val="Arial"/>
      <family val="2"/>
    </font>
    <font>
      <sz val="10"/>
      <color theme="1"/>
      <name val="Arial"/>
      <family val="2"/>
    </font>
    <font>
      <b/>
      <u/>
      <sz val="11"/>
      <color theme="1"/>
      <name val="Calibri"/>
      <family val="2"/>
      <scheme val="minor"/>
    </font>
    <font>
      <sz val="11"/>
      <color theme="1"/>
      <name val="Arial Narrow"/>
      <family val="2"/>
    </font>
    <font>
      <b/>
      <sz val="11"/>
      <color theme="1"/>
      <name val="Calibri"/>
      <family val="2"/>
      <scheme val="minor"/>
    </font>
    <font>
      <b/>
      <u/>
      <sz val="12"/>
      <color theme="1"/>
      <name val="Calibri"/>
      <family val="2"/>
      <scheme val="minor"/>
    </font>
    <font>
      <sz val="11"/>
      <color rgb="FFFF0000"/>
      <name val="Calibri"/>
      <family val="2"/>
      <scheme val="minor"/>
    </font>
    <font>
      <u/>
      <sz val="11"/>
      <color theme="10"/>
      <name val="Calibri"/>
      <family val="2"/>
      <scheme val="minor"/>
    </font>
    <font>
      <b/>
      <sz val="11"/>
      <color rgb="FFFF0000"/>
      <name val="Calibri"/>
      <family val="2"/>
      <scheme val="minor"/>
    </font>
    <font>
      <sz val="8"/>
      <name val="Calibri"/>
      <family val="2"/>
      <scheme val="minor"/>
    </font>
    <font>
      <b/>
      <sz val="11"/>
      <color theme="3" tint="-0.249977111117893"/>
      <name val="Calibri"/>
      <family val="2"/>
      <scheme val="minor"/>
    </font>
    <font>
      <b/>
      <sz val="11"/>
      <color theme="4" tint="-0.499984740745262"/>
      <name val="Calibri"/>
      <family val="2"/>
      <scheme val="minor"/>
    </font>
    <font>
      <sz val="10"/>
      <color theme="1"/>
      <name val="Arial Narrow"/>
      <family val="2"/>
    </font>
    <font>
      <sz val="10"/>
      <name val="Arial Narrow"/>
      <family val="2"/>
    </font>
    <font>
      <b/>
      <u/>
      <sz val="11"/>
      <color theme="0"/>
      <name val="Calibri"/>
      <family val="2"/>
      <scheme val="minor"/>
    </font>
    <font>
      <b/>
      <sz val="14"/>
      <color theme="4" tint="-0.499984740745262"/>
      <name val="Calibri"/>
      <family val="2"/>
      <scheme val="minor"/>
    </font>
    <font>
      <b/>
      <sz val="18"/>
      <color theme="4" tint="-0.499984740745262"/>
      <name val="Calibri"/>
      <family val="2"/>
      <scheme val="minor"/>
    </font>
    <font>
      <u/>
      <sz val="11"/>
      <color theme="1"/>
      <name val="Calibri"/>
      <family val="2"/>
      <scheme val="minor"/>
    </font>
    <font>
      <b/>
      <u/>
      <sz val="12"/>
      <color rgb="FFFF0000"/>
      <name val="Calibri"/>
      <family val="2"/>
      <scheme val="minor"/>
    </font>
  </fonts>
  <fills count="21">
    <fill>
      <patternFill patternType="none"/>
    </fill>
    <fill>
      <patternFill patternType="gray125"/>
    </fill>
    <fill>
      <patternFill patternType="solid">
        <fgColor rgb="FF203764"/>
        <bgColor indexed="64"/>
      </patternFill>
    </fill>
    <fill>
      <patternFill patternType="solid">
        <fgColor rgb="FF92D050"/>
        <bgColor indexed="64"/>
      </patternFill>
    </fill>
    <fill>
      <patternFill patternType="solid">
        <fgColor rgb="FFC6E0B4"/>
        <bgColor indexed="64"/>
      </patternFill>
    </fill>
    <fill>
      <patternFill patternType="solid">
        <fgColor rgb="FFFFFF00"/>
        <bgColor indexed="64"/>
      </patternFill>
    </fill>
    <fill>
      <patternFill patternType="solid">
        <fgColor rgb="FFED7D31"/>
        <bgColor indexed="64"/>
      </patternFill>
    </fill>
    <fill>
      <patternFill patternType="solid">
        <fgColor rgb="FFFF0000"/>
        <bgColor indexed="64"/>
      </patternFill>
    </fill>
    <fill>
      <patternFill patternType="solid">
        <fgColor rgb="FF17375D"/>
        <bgColor indexed="64"/>
      </patternFill>
    </fill>
    <fill>
      <patternFill patternType="solid">
        <fgColor theme="3" tint="-0.499984740745262"/>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4" tint="-0.249977111117893"/>
        <bgColor indexed="64"/>
      </patternFill>
    </fill>
  </fills>
  <borders count="39">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0"/>
      </left>
      <right style="thin">
        <color theme="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4" tint="-0.499984740745262"/>
      </left>
      <right/>
      <top style="thin">
        <color theme="4" tint="-0.499984740745262"/>
      </top>
      <bottom style="thin">
        <color theme="4" tint="-0.499984740745262"/>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theme="4" tint="-0.499984740745262"/>
      </left>
      <right style="thin">
        <color theme="4" tint="-0.499984740745262"/>
      </right>
      <top style="thin">
        <color theme="4" tint="-0.499984740745262"/>
      </top>
      <bottom/>
      <diagonal/>
    </border>
    <border>
      <left/>
      <right style="thin">
        <color theme="0"/>
      </right>
      <top/>
      <bottom style="thin">
        <color theme="0"/>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theme="0" tint="-0.499984740745262"/>
      </left>
      <right style="thin">
        <color theme="0" tint="-0.499984740745262"/>
      </right>
      <top style="thin">
        <color theme="0" tint="-0.499984740745262"/>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rgb="FFC00000"/>
      </left>
      <right style="thin">
        <color rgb="FFC00000"/>
      </right>
      <top style="thin">
        <color rgb="FFC00000"/>
      </top>
      <bottom style="thin">
        <color rgb="FFC00000"/>
      </bottom>
      <diagonal/>
    </border>
    <border>
      <left style="thin">
        <color theme="4" tint="-0.499984740745262"/>
      </left>
      <right style="thin">
        <color theme="4" tint="-0.499984740745262"/>
      </right>
      <top/>
      <bottom style="thin">
        <color theme="4" tint="-0.499984740745262"/>
      </bottom>
      <diagonal/>
    </border>
    <border>
      <left style="thin">
        <color indexed="64"/>
      </left>
      <right style="thin">
        <color indexed="64"/>
      </right>
      <top/>
      <bottom style="thin">
        <color indexed="64"/>
      </bottom>
      <diagonal/>
    </border>
    <border>
      <left style="thin">
        <color rgb="FFC00000"/>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style="thin">
        <color rgb="FFC00000"/>
      </right>
      <top style="thin">
        <color rgb="FFC00000"/>
      </top>
      <bottom/>
      <diagonal/>
    </border>
    <border>
      <left/>
      <right/>
      <top/>
      <bottom style="thin">
        <color indexed="64"/>
      </bottom>
      <diagonal/>
    </border>
    <border>
      <left/>
      <right style="thin">
        <color indexed="64"/>
      </right>
      <top style="thin">
        <color indexed="64"/>
      </top>
      <bottom/>
      <diagonal/>
    </border>
    <border>
      <left style="thin">
        <color rgb="FFC00000"/>
      </left>
      <right/>
      <top style="thin">
        <color rgb="FFC00000"/>
      </top>
      <bottom/>
      <diagonal/>
    </border>
    <border>
      <left/>
      <right style="thin">
        <color rgb="FFC00000"/>
      </right>
      <top style="thin">
        <color rgb="FFC00000"/>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cellStyleXfs>
  <cellXfs count="265">
    <xf numFmtId="0" fontId="0" fillId="0" borderId="0" xfId="0"/>
    <xf numFmtId="43" fontId="0" fillId="0" borderId="1" xfId="1" applyFont="1" applyBorder="1"/>
    <xf numFmtId="0" fontId="5" fillId="2" borderId="5" xfId="0" applyFont="1" applyFill="1" applyBorder="1" applyAlignment="1">
      <alignment horizontal="center" vertical="center"/>
    </xf>
    <xf numFmtId="0" fontId="4" fillId="3" borderId="5" xfId="0" applyFont="1" applyFill="1" applyBorder="1" applyAlignment="1">
      <alignment horizontal="center" vertical="center"/>
    </xf>
    <xf numFmtId="0" fontId="4" fillId="4" borderId="5" xfId="0" applyFont="1" applyFill="1" applyBorder="1" applyAlignment="1">
      <alignment horizontal="center" vertical="center"/>
    </xf>
    <xf numFmtId="0" fontId="4" fillId="5" borderId="5" xfId="0" applyFont="1" applyFill="1" applyBorder="1" applyAlignment="1">
      <alignment horizontal="center" vertical="center"/>
    </xf>
    <xf numFmtId="0" fontId="4" fillId="6" borderId="5" xfId="0" applyFont="1" applyFill="1" applyBorder="1" applyAlignment="1">
      <alignment horizontal="center" vertical="center"/>
    </xf>
    <xf numFmtId="0" fontId="4" fillId="7" borderId="5" xfId="0" applyFont="1" applyFill="1" applyBorder="1" applyAlignment="1">
      <alignment horizontal="center" vertical="center"/>
    </xf>
    <xf numFmtId="0" fontId="5" fillId="8" borderId="5" xfId="0" applyFont="1" applyFill="1" applyBorder="1" applyAlignment="1">
      <alignment horizontal="center" vertical="center"/>
    </xf>
    <xf numFmtId="0" fontId="2" fillId="9" borderId="5" xfId="0" applyFont="1" applyFill="1" applyBorder="1" applyAlignment="1">
      <alignment horizontal="center"/>
    </xf>
    <xf numFmtId="0" fontId="2" fillId="0" borderId="1" xfId="0" applyFont="1" applyBorder="1" applyProtection="1">
      <protection hidden="1"/>
    </xf>
    <xf numFmtId="0" fontId="2" fillId="0" borderId="1" xfId="0" applyFont="1" applyBorder="1" applyAlignment="1" applyProtection="1">
      <alignment horizontal="center" vertical="center"/>
      <protection hidden="1"/>
    </xf>
    <xf numFmtId="44" fontId="8" fillId="11" borderId="5" xfId="2" applyFont="1" applyFill="1" applyBorder="1" applyAlignment="1" applyProtection="1">
      <alignment horizontal="center" vertical="center" wrapText="1"/>
      <protection locked="0"/>
    </xf>
    <xf numFmtId="43" fontId="2" fillId="0" borderId="1" xfId="1" applyFont="1" applyBorder="1" applyProtection="1">
      <protection hidden="1"/>
    </xf>
    <xf numFmtId="0" fontId="3" fillId="0" borderId="1" xfId="0" applyFont="1" applyBorder="1" applyProtection="1">
      <protection locked="0"/>
    </xf>
    <xf numFmtId="0" fontId="2" fillId="9" borderId="5" xfId="0" applyFont="1" applyFill="1" applyBorder="1" applyAlignment="1" applyProtection="1">
      <alignment horizontal="center"/>
      <protection locked="0"/>
    </xf>
    <xf numFmtId="0" fontId="7" fillId="12" borderId="8" xfId="0" applyFont="1" applyFill="1" applyBorder="1" applyAlignment="1">
      <alignment horizontal="center" vertical="center" wrapText="1"/>
    </xf>
    <xf numFmtId="0" fontId="0" fillId="0" borderId="1"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2" fillId="12" borderId="8" xfId="0" applyFont="1" applyFill="1" applyBorder="1" applyAlignment="1">
      <alignment horizontal="center" vertical="center" wrapText="1"/>
    </xf>
    <xf numFmtId="0" fontId="2" fillId="12" borderId="0" xfId="0" applyFont="1" applyFill="1" applyAlignment="1">
      <alignment horizontal="center" vertical="center" wrapText="1"/>
    </xf>
    <xf numFmtId="0" fontId="0" fillId="0" borderId="0" xfId="0" applyAlignment="1">
      <alignment wrapText="1"/>
    </xf>
    <xf numFmtId="0" fontId="0" fillId="0" borderId="0" xfId="0" applyAlignment="1">
      <alignment vertical="center" wrapText="1"/>
    </xf>
    <xf numFmtId="0" fontId="0" fillId="0" borderId="0" xfId="0" applyAlignment="1">
      <alignment vertical="center"/>
    </xf>
    <xf numFmtId="0" fontId="11" fillId="0" borderId="0" xfId="0" applyFont="1" applyAlignment="1">
      <alignment horizontal="center" vertical="center"/>
    </xf>
    <xf numFmtId="0" fontId="11" fillId="0" borderId="0" xfId="0" applyFont="1"/>
    <xf numFmtId="0" fontId="11" fillId="0" borderId="0" xfId="0" applyFont="1" applyAlignment="1">
      <alignment horizontal="center"/>
    </xf>
    <xf numFmtId="0" fontId="9" fillId="0" borderId="0" xfId="0" applyFont="1" applyAlignment="1">
      <alignment vertical="center"/>
    </xf>
    <xf numFmtId="0" fontId="9" fillId="0" borderId="0" xfId="0" applyFont="1" applyAlignment="1">
      <alignment vertical="center" wrapText="1"/>
    </xf>
    <xf numFmtId="0" fontId="0" fillId="11" borderId="0" xfId="0" applyFill="1" applyAlignment="1">
      <alignment wrapText="1"/>
    </xf>
    <xf numFmtId="0" fontId="0" fillId="11" borderId="0" xfId="0" applyFill="1"/>
    <xf numFmtId="0" fontId="0" fillId="0" borderId="8" xfId="0" applyBorder="1" applyAlignment="1">
      <alignment horizontal="center" vertical="center" wrapText="1"/>
    </xf>
    <xf numFmtId="0" fontId="5" fillId="2" borderId="5" xfId="0" applyFont="1" applyFill="1" applyBorder="1" applyAlignment="1">
      <alignment horizontal="center" vertical="center" wrapText="1"/>
    </xf>
    <xf numFmtId="0" fontId="7" fillId="12" borderId="16" xfId="0" applyFont="1" applyFill="1" applyBorder="1" applyAlignment="1">
      <alignment horizontal="center" vertical="center" wrapText="1"/>
    </xf>
    <xf numFmtId="0" fontId="0" fillId="0" borderId="13" xfId="0" applyBorder="1" applyAlignment="1">
      <alignment vertical="center" wrapText="1"/>
    </xf>
    <xf numFmtId="0" fontId="7" fillId="12" borderId="16" xfId="0" applyFont="1" applyFill="1" applyBorder="1" applyAlignment="1">
      <alignment horizontal="left" vertical="center" wrapText="1"/>
    </xf>
    <xf numFmtId="0" fontId="0" fillId="0" borderId="13" xfId="0" applyBorder="1" applyAlignment="1">
      <alignment wrapText="1"/>
    </xf>
    <xf numFmtId="0" fontId="0" fillId="0" borderId="1" xfId="0" applyBorder="1" applyAlignment="1">
      <alignment horizontal="left" vertical="center" wrapText="1"/>
    </xf>
    <xf numFmtId="0" fontId="0" fillId="0" borderId="0" xfId="0" applyAlignment="1">
      <alignment horizontal="center" vertical="center"/>
    </xf>
    <xf numFmtId="0" fontId="10" fillId="0" borderId="0" xfId="0" applyFont="1" applyAlignment="1">
      <alignment horizontal="center" vertical="center"/>
    </xf>
    <xf numFmtId="0" fontId="10" fillId="0" borderId="18" xfId="0" applyFont="1" applyBorder="1" applyAlignment="1">
      <alignment horizontal="center" vertical="center" wrapText="1"/>
    </xf>
    <xf numFmtId="0" fontId="0" fillId="0" borderId="0" xfId="0" applyAlignment="1">
      <alignment horizontal="center"/>
    </xf>
    <xf numFmtId="0" fontId="9" fillId="5" borderId="17" xfId="0" applyFont="1" applyFill="1" applyBorder="1" applyAlignment="1">
      <alignment horizontal="center" vertical="center" wrapText="1"/>
    </xf>
    <xf numFmtId="0" fontId="16" fillId="0" borderId="0" xfId="4" applyAlignment="1">
      <alignment wrapText="1"/>
    </xf>
    <xf numFmtId="0" fontId="16" fillId="0" borderId="0" xfId="4"/>
    <xf numFmtId="0" fontId="16" fillId="0" borderId="0" xfId="4" applyAlignment="1">
      <alignment vertical="center"/>
    </xf>
    <xf numFmtId="0" fontId="13" fillId="0" borderId="13" xfId="0" applyFont="1" applyBorder="1" applyAlignment="1">
      <alignment wrapText="1"/>
    </xf>
    <xf numFmtId="0" fontId="17" fillId="0" borderId="13" xfId="0" applyFont="1" applyBorder="1"/>
    <xf numFmtId="0" fontId="2" fillId="12" borderId="16"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13" xfId="0" applyBorder="1" applyAlignment="1">
      <alignment horizontal="center" vertical="center" wrapText="1"/>
    </xf>
    <xf numFmtId="0" fontId="2" fillId="12" borderId="21" xfId="0" applyFont="1" applyFill="1" applyBorder="1" applyAlignment="1">
      <alignment horizontal="center" vertical="center" wrapText="1"/>
    </xf>
    <xf numFmtId="0" fontId="0" fillId="0" borderId="13" xfId="0" applyBorder="1"/>
    <xf numFmtId="0" fontId="0" fillId="0" borderId="13" xfId="0" applyBorder="1" applyAlignment="1">
      <alignment horizontal="center" vertical="center"/>
    </xf>
    <xf numFmtId="0" fontId="0" fillId="0" borderId="1" xfId="0" applyBorder="1"/>
    <xf numFmtId="0" fontId="0" fillId="0" borderId="6" xfId="0" applyBorder="1"/>
    <xf numFmtId="0" fontId="0" fillId="0" borderId="2" xfId="0" applyBorder="1"/>
    <xf numFmtId="0" fontId="0" fillId="0" borderId="4" xfId="0" applyBorder="1"/>
    <xf numFmtId="0" fontId="0" fillId="0" borderId="7" xfId="0" applyBorder="1"/>
    <xf numFmtId="0" fontId="8" fillId="0" borderId="4" xfId="0" applyFont="1" applyBorder="1"/>
    <xf numFmtId="0" fontId="0" fillId="0" borderId="1" xfId="0" applyBorder="1" applyProtection="1">
      <protection locked="0"/>
    </xf>
    <xf numFmtId="0" fontId="0" fillId="0" borderId="6" xfId="0" applyBorder="1" applyProtection="1">
      <protection locked="0"/>
    </xf>
    <xf numFmtId="0" fontId="0" fillId="11" borderId="5" xfId="0" applyFill="1" applyBorder="1" applyAlignment="1" applyProtection="1">
      <alignment horizontal="center" vertical="center"/>
      <protection locked="0"/>
    </xf>
    <xf numFmtId="0" fontId="6" fillId="0" borderId="5" xfId="0" applyFont="1" applyBorder="1" applyAlignment="1" applyProtection="1">
      <alignment vertical="center"/>
      <protection hidden="1"/>
    </xf>
    <xf numFmtId="0" fontId="0" fillId="0" borderId="5" xfId="0" applyBorder="1" applyAlignment="1" applyProtection="1">
      <alignment horizontal="center" vertical="center"/>
      <protection locked="0"/>
    </xf>
    <xf numFmtId="0" fontId="0" fillId="13" borderId="5" xfId="0" applyFill="1" applyBorder="1" applyAlignment="1" applyProtection="1">
      <alignment horizontal="center" vertical="center"/>
      <protection locked="0"/>
    </xf>
    <xf numFmtId="0" fontId="2" fillId="9" borderId="25" xfId="0" applyFont="1" applyFill="1" applyBorder="1" applyAlignment="1" applyProtection="1">
      <alignment horizontal="center"/>
      <protection locked="0"/>
    </xf>
    <xf numFmtId="0" fontId="19" fillId="14" borderId="8" xfId="0" applyFont="1" applyFill="1" applyBorder="1" applyAlignment="1">
      <alignment horizontal="left" vertical="top" wrapText="1"/>
    </xf>
    <xf numFmtId="0" fontId="10" fillId="0" borderId="0" xfId="0" applyFont="1" applyAlignment="1">
      <alignment horizontal="center" vertical="center" wrapText="1"/>
    </xf>
    <xf numFmtId="0" fontId="13" fillId="14" borderId="13" xfId="0" applyFont="1" applyFill="1" applyBorder="1"/>
    <xf numFmtId="0" fontId="20" fillId="14" borderId="0" xfId="0" applyFont="1" applyFill="1"/>
    <xf numFmtId="0" fontId="13" fillId="0" borderId="1" xfId="0" applyFont="1" applyBorder="1" applyAlignment="1">
      <alignment horizontal="center"/>
    </xf>
    <xf numFmtId="0" fontId="2" fillId="0" borderId="1" xfId="0" applyFont="1" applyBorder="1"/>
    <xf numFmtId="43" fontId="2" fillId="0" borderId="1" xfId="1" applyFont="1" applyBorder="1"/>
    <xf numFmtId="0" fontId="0" fillId="0" borderId="26" xfId="0" applyBorder="1"/>
    <xf numFmtId="0" fontId="0" fillId="0" borderId="9" xfId="0" applyBorder="1"/>
    <xf numFmtId="0" fontId="21" fillId="0" borderId="29" xfId="0" applyFont="1" applyBorder="1" applyAlignment="1">
      <alignment horizontal="left" vertical="center" wrapText="1"/>
    </xf>
    <xf numFmtId="0" fontId="21" fillId="0" borderId="13" xfId="0" applyFont="1" applyBorder="1" applyAlignment="1">
      <alignment vertical="center" wrapText="1"/>
    </xf>
    <xf numFmtId="0" fontId="21" fillId="0" borderId="29" xfId="0" applyFont="1" applyBorder="1" applyAlignment="1">
      <alignment vertical="center" wrapText="1"/>
    </xf>
    <xf numFmtId="0" fontId="22" fillId="0" borderId="29" xfId="0" applyFont="1" applyBorder="1" applyAlignment="1">
      <alignment horizontal="left" vertical="center" wrapText="1"/>
    </xf>
    <xf numFmtId="0" fontId="7" fillId="20" borderId="0" xfId="0" applyFont="1" applyFill="1" applyAlignment="1">
      <alignment horizontal="center"/>
    </xf>
    <xf numFmtId="0" fontId="23" fillId="20" borderId="0" xfId="0" applyFont="1" applyFill="1" applyAlignment="1">
      <alignment horizontal="center" wrapText="1"/>
    </xf>
    <xf numFmtId="0" fontId="0" fillId="0" borderId="13" xfId="0" applyBorder="1" applyAlignment="1">
      <alignment vertical="top" wrapText="1"/>
    </xf>
    <xf numFmtId="0" fontId="0" fillId="14" borderId="13" xfId="0" applyFill="1" applyBorder="1" applyAlignment="1">
      <alignment vertical="center"/>
    </xf>
    <xf numFmtId="0" fontId="0" fillId="15" borderId="13" xfId="0" applyFill="1" applyBorder="1" applyAlignment="1">
      <alignment vertical="center"/>
    </xf>
    <xf numFmtId="0" fontId="6" fillId="18" borderId="13" xfId="0" applyFont="1" applyFill="1" applyBorder="1" applyAlignment="1">
      <alignment vertical="center"/>
    </xf>
    <xf numFmtId="0" fontId="0" fillId="18" borderId="13" xfId="0" applyFill="1" applyBorder="1" applyAlignment="1">
      <alignment vertical="center"/>
    </xf>
    <xf numFmtId="0" fontId="12" fillId="0" borderId="13" xfId="0" applyFont="1" applyBorder="1" applyAlignment="1">
      <alignment horizontal="justify" vertical="center" wrapText="1"/>
    </xf>
    <xf numFmtId="0" fontId="19" fillId="14" borderId="16" xfId="0" applyFont="1" applyFill="1" applyBorder="1" applyAlignment="1">
      <alignment horizontal="left" vertical="center" wrapText="1"/>
    </xf>
    <xf numFmtId="0" fontId="19" fillId="14" borderId="16" xfId="0" applyFont="1" applyFill="1" applyBorder="1" applyAlignment="1">
      <alignment horizontal="left" vertical="top" wrapText="1"/>
    </xf>
    <xf numFmtId="0" fontId="19" fillId="11" borderId="8" xfId="0" applyFont="1" applyFill="1" applyBorder="1" applyAlignment="1">
      <alignment horizontal="right" vertical="top" wrapText="1"/>
    </xf>
    <xf numFmtId="0" fontId="13" fillId="19" borderId="13" xfId="0" applyFont="1" applyFill="1" applyBorder="1" applyAlignment="1">
      <alignment horizontal="center"/>
    </xf>
    <xf numFmtId="0" fontId="19" fillId="11" borderId="19" xfId="0" applyFont="1" applyFill="1" applyBorder="1" applyAlignment="1">
      <alignment horizontal="right" vertical="top" wrapText="1"/>
    </xf>
    <xf numFmtId="0" fontId="19" fillId="14" borderId="30" xfId="0" applyFont="1" applyFill="1" applyBorder="1" applyAlignment="1">
      <alignment horizontal="left" vertical="top" wrapText="1"/>
    </xf>
    <xf numFmtId="0" fontId="0" fillId="0" borderId="14" xfId="0" applyBorder="1"/>
    <xf numFmtId="0" fontId="0" fillId="0" borderId="15" xfId="0" applyBorder="1"/>
    <xf numFmtId="0" fontId="0" fillId="0" borderId="15" xfId="0" applyBorder="1" applyAlignment="1">
      <alignment wrapText="1"/>
    </xf>
    <xf numFmtId="0" fontId="0" fillId="0" borderId="31" xfId="0" applyBorder="1" applyAlignment="1">
      <alignment wrapText="1"/>
    </xf>
    <xf numFmtId="0" fontId="19" fillId="14" borderId="13" xfId="0" applyFont="1" applyFill="1" applyBorder="1" applyAlignment="1">
      <alignment horizontal="left" vertical="top" wrapText="1"/>
    </xf>
    <xf numFmtId="0" fontId="0" fillId="14" borderId="13" xfId="0" applyFill="1" applyBorder="1"/>
    <xf numFmtId="0" fontId="6" fillId="0" borderId="1" xfId="0" applyFont="1" applyBorder="1"/>
    <xf numFmtId="0" fontId="12" fillId="0" borderId="0" xfId="0" applyFont="1" applyAlignment="1">
      <alignment horizontal="center" vertical="center"/>
    </xf>
    <xf numFmtId="0" fontId="16" fillId="0" borderId="0" xfId="4" applyAlignment="1">
      <alignment horizontal="left" vertical="center"/>
    </xf>
    <xf numFmtId="0" fontId="6" fillId="0" borderId="1" xfId="0" applyFont="1" applyBorder="1" applyProtection="1">
      <protection hidden="1"/>
    </xf>
    <xf numFmtId="0" fontId="6" fillId="0" borderId="6" xfId="0" applyFont="1" applyBorder="1"/>
    <xf numFmtId="0" fontId="6" fillId="0" borderId="2" xfId="0" applyFont="1" applyBorder="1"/>
    <xf numFmtId="0" fontId="6" fillId="0" borderId="4" xfId="0" applyFont="1" applyBorder="1"/>
    <xf numFmtId="0" fontId="6" fillId="0" borderId="1" xfId="0" applyFont="1" applyBorder="1" applyAlignment="1" applyProtection="1">
      <alignment horizontal="center" vertical="center"/>
      <protection hidden="1"/>
    </xf>
    <xf numFmtId="0" fontId="2" fillId="0" borderId="1" xfId="0" applyFont="1" applyBorder="1" applyAlignment="1">
      <alignment horizontal="center" vertical="center"/>
    </xf>
    <xf numFmtId="0" fontId="2" fillId="0" borderId="6" xfId="0" applyFont="1" applyBorder="1" applyAlignment="1">
      <alignment horizontal="center" vertical="center"/>
    </xf>
    <xf numFmtId="0" fontId="2" fillId="0" borderId="5" xfId="0" applyFont="1" applyBorder="1" applyAlignment="1">
      <alignment horizontal="center" vertical="center"/>
    </xf>
    <xf numFmtId="0" fontId="2" fillId="10" borderId="5" xfId="0" applyFont="1" applyFill="1" applyBorder="1" applyAlignment="1">
      <alignment horizontal="center" vertical="center"/>
    </xf>
    <xf numFmtId="0" fontId="2" fillId="7" borderId="5" xfId="0" applyFont="1" applyFill="1" applyBorder="1" applyAlignment="1">
      <alignment horizontal="center" vertical="center"/>
    </xf>
    <xf numFmtId="0" fontId="2" fillId="5" borderId="5" xfId="0" applyFont="1" applyFill="1" applyBorder="1" applyAlignment="1">
      <alignment horizontal="center" vertical="center"/>
    </xf>
    <xf numFmtId="0" fontId="2" fillId="3" borderId="5" xfId="0" applyFont="1" applyFill="1" applyBorder="1" applyAlignment="1">
      <alignment horizontal="center" vertical="center"/>
    </xf>
    <xf numFmtId="0" fontId="2" fillId="8" borderId="5" xfId="0" applyFont="1" applyFill="1" applyBorder="1" applyAlignment="1">
      <alignment horizontal="center" vertical="center"/>
    </xf>
    <xf numFmtId="0" fontId="0" fillId="0" borderId="8" xfId="0" applyBorder="1" applyAlignment="1" applyProtection="1">
      <alignment horizontal="center" vertical="center" wrapText="1"/>
      <protection locked="0"/>
    </xf>
    <xf numFmtId="44" fontId="0" fillId="0" borderId="8" xfId="2" applyFont="1" applyBorder="1" applyAlignment="1" applyProtection="1">
      <alignment vertical="center" wrapText="1"/>
      <protection locked="0"/>
    </xf>
    <xf numFmtId="0" fontId="0" fillId="0" borderId="8" xfId="2" applyNumberFormat="1" applyFont="1" applyBorder="1" applyAlignment="1" applyProtection="1">
      <alignment vertical="center" wrapText="1"/>
      <protection locked="0"/>
    </xf>
    <xf numFmtId="0" fontId="0" fillId="0" borderId="12" xfId="0" applyBorder="1" applyAlignment="1" applyProtection="1">
      <alignment horizontal="center" vertical="center" wrapText="1"/>
      <protection locked="0"/>
    </xf>
    <xf numFmtId="165" fontId="0" fillId="0" borderId="13" xfId="0" applyNumberFormat="1" applyBorder="1" applyAlignment="1" applyProtection="1">
      <alignment horizontal="center" vertical="center" wrapText="1"/>
      <protection locked="0"/>
    </xf>
    <xf numFmtId="0" fontId="0" fillId="0" borderId="13" xfId="0" applyBorder="1" applyAlignment="1" applyProtection="1">
      <alignment vertical="center" wrapText="1"/>
      <protection locked="0"/>
    </xf>
    <xf numFmtId="0" fontId="0" fillId="0" borderId="13" xfId="0" applyBorder="1" applyAlignment="1" applyProtection="1">
      <alignment vertical="center"/>
      <protection locked="0"/>
    </xf>
    <xf numFmtId="0" fontId="0" fillId="0" borderId="13" xfId="0" applyBorder="1" applyAlignment="1" applyProtection="1">
      <alignment wrapText="1"/>
      <protection locked="0"/>
    </xf>
    <xf numFmtId="0" fontId="6" fillId="0" borderId="13" xfId="0" applyFont="1" applyBorder="1" applyAlignment="1" applyProtection="1">
      <alignment vertical="center" wrapText="1"/>
      <protection locked="0"/>
    </xf>
    <xf numFmtId="0" fontId="0" fillId="0" borderId="13" xfId="0" applyBorder="1" applyProtection="1">
      <protection locked="0"/>
    </xf>
    <xf numFmtId="0" fontId="21" fillId="0" borderId="32" xfId="0" applyFont="1" applyBorder="1" applyAlignment="1">
      <alignment horizontal="left" vertical="center" wrapText="1"/>
    </xf>
    <xf numFmtId="0" fontId="21" fillId="0" borderId="13" xfId="0" applyFont="1" applyBorder="1" applyAlignment="1">
      <alignment horizontal="left" vertical="center" wrapText="1"/>
    </xf>
    <xf numFmtId="0" fontId="21" fillId="0" borderId="33" xfId="0" applyFont="1" applyBorder="1" applyAlignment="1">
      <alignment horizontal="left" vertical="center" wrapText="1"/>
    </xf>
    <xf numFmtId="0" fontId="21" fillId="0" borderId="34" xfId="0" applyFont="1" applyBorder="1" applyAlignment="1">
      <alignment horizontal="left" vertical="center" wrapText="1"/>
    </xf>
    <xf numFmtId="0" fontId="0" fillId="0" borderId="0" xfId="0" applyProtection="1">
      <protection hidden="1"/>
    </xf>
    <xf numFmtId="0" fontId="0" fillId="0" borderId="0" xfId="0" applyAlignment="1" applyProtection="1">
      <alignment wrapText="1"/>
      <protection hidden="1"/>
    </xf>
    <xf numFmtId="0" fontId="0" fillId="14" borderId="0" xfId="0" applyFill="1" applyProtection="1">
      <protection hidden="1"/>
    </xf>
    <xf numFmtId="0" fontId="0" fillId="15" borderId="0" xfId="0" applyFill="1" applyProtection="1">
      <protection hidden="1"/>
    </xf>
    <xf numFmtId="0" fontId="0" fillId="15" borderId="14" xfId="0" applyFill="1" applyBorder="1" applyAlignment="1" applyProtection="1">
      <alignment horizontal="center"/>
      <protection hidden="1"/>
    </xf>
    <xf numFmtId="1" fontId="0" fillId="15" borderId="13" xfId="0" applyNumberFormat="1" applyFill="1" applyBorder="1" applyProtection="1">
      <protection hidden="1"/>
    </xf>
    <xf numFmtId="1" fontId="0" fillId="0" borderId="0" xfId="0" applyNumberFormat="1" applyProtection="1">
      <protection hidden="1"/>
    </xf>
    <xf numFmtId="0" fontId="11" fillId="0" borderId="0" xfId="0" applyFont="1" applyAlignment="1" applyProtection="1">
      <alignment horizontal="center" wrapText="1"/>
      <protection hidden="1"/>
    </xf>
    <xf numFmtId="0" fontId="0" fillId="15" borderId="15" xfId="0" applyFill="1" applyBorder="1" applyProtection="1">
      <protection hidden="1"/>
    </xf>
    <xf numFmtId="0" fontId="0" fillId="19" borderId="0" xfId="0" applyFill="1" applyProtection="1">
      <protection hidden="1"/>
    </xf>
    <xf numFmtId="0" fontId="0" fillId="11" borderId="0" xfId="0" applyFill="1" applyProtection="1">
      <protection hidden="1"/>
    </xf>
    <xf numFmtId="0" fontId="0" fillId="5" borderId="0" xfId="0" applyFill="1" applyProtection="1">
      <protection hidden="1"/>
    </xf>
    <xf numFmtId="0" fontId="0" fillId="16" borderId="0" xfId="0" applyFill="1" applyProtection="1">
      <protection hidden="1"/>
    </xf>
    <xf numFmtId="0" fontId="0" fillId="11" borderId="0" xfId="0" applyFill="1" applyAlignment="1" applyProtection="1">
      <alignment wrapText="1"/>
      <protection hidden="1"/>
    </xf>
    <xf numFmtId="0" fontId="0" fillId="15" borderId="13" xfId="0" applyFill="1" applyBorder="1" applyProtection="1">
      <protection hidden="1"/>
    </xf>
    <xf numFmtId="1" fontId="0" fillId="11" borderId="0" xfId="0" applyNumberFormat="1" applyFill="1" applyProtection="1">
      <protection hidden="1"/>
    </xf>
    <xf numFmtId="0" fontId="0" fillId="15" borderId="14" xfId="0" applyFill="1" applyBorder="1" applyProtection="1">
      <protection hidden="1"/>
    </xf>
    <xf numFmtId="0" fontId="0" fillId="18" borderId="0" xfId="0" applyFill="1" applyProtection="1">
      <protection hidden="1"/>
    </xf>
    <xf numFmtId="0" fontId="6" fillId="18" borderId="0" xfId="0" applyFont="1" applyFill="1" applyProtection="1">
      <protection hidden="1"/>
    </xf>
    <xf numFmtId="0" fontId="14" fillId="0" borderId="1" xfId="0" applyFont="1" applyBorder="1" applyAlignment="1" applyProtection="1">
      <alignment horizontal="center"/>
      <protection locked="0" hidden="1"/>
    </xf>
    <xf numFmtId="0" fontId="12" fillId="0" borderId="0" xfId="0" applyFont="1" applyAlignment="1" applyProtection="1">
      <alignment horizontal="justify" vertical="center" wrapText="1"/>
      <protection hidden="1"/>
    </xf>
    <xf numFmtId="0" fontId="13" fillId="0" borderId="0" xfId="0" applyFont="1" applyAlignment="1" applyProtection="1">
      <alignment horizontal="center" wrapText="1"/>
      <protection hidden="1"/>
    </xf>
    <xf numFmtId="0" fontId="2" fillId="12" borderId="19" xfId="0" applyFont="1" applyFill="1" applyBorder="1" applyAlignment="1" applyProtection="1">
      <alignment horizontal="center" vertical="center" wrapText="1"/>
      <protection hidden="1"/>
    </xf>
    <xf numFmtId="0" fontId="2" fillId="12" borderId="16" xfId="0" applyFont="1" applyFill="1" applyBorder="1" applyAlignment="1" applyProtection="1">
      <alignment horizontal="center" vertical="center" wrapText="1"/>
      <protection hidden="1"/>
    </xf>
    <xf numFmtId="0" fontId="0" fillId="0" borderId="13" xfId="0" applyBorder="1" applyAlignment="1" applyProtection="1">
      <alignment horizontal="center"/>
      <protection hidden="1"/>
    </xf>
    <xf numFmtId="0" fontId="0" fillId="0" borderId="13" xfId="0" applyBorder="1" applyProtection="1">
      <protection hidden="1"/>
    </xf>
    <xf numFmtId="167" fontId="0" fillId="0" borderId="13" xfId="0" applyNumberFormat="1" applyBorder="1" applyProtection="1">
      <protection hidden="1"/>
    </xf>
    <xf numFmtId="166" fontId="0" fillId="0" borderId="13" xfId="0" applyNumberFormat="1" applyBorder="1" applyProtection="1">
      <protection hidden="1"/>
    </xf>
    <xf numFmtId="0" fontId="2" fillId="12" borderId="0" xfId="0" applyFont="1" applyFill="1" applyAlignment="1" applyProtection="1">
      <alignment horizontal="center" vertical="center" wrapText="1"/>
      <protection hidden="1"/>
    </xf>
    <xf numFmtId="0" fontId="2" fillId="12" borderId="16" xfId="0" applyFont="1" applyFill="1" applyBorder="1" applyAlignment="1" applyProtection="1">
      <alignment horizontal="left" vertical="center" wrapText="1"/>
      <protection hidden="1"/>
    </xf>
    <xf numFmtId="0" fontId="0" fillId="10" borderId="13" xfId="0" applyFill="1" applyBorder="1" applyAlignment="1" applyProtection="1">
      <alignment horizontal="center"/>
      <protection hidden="1"/>
    </xf>
    <xf numFmtId="166" fontId="0" fillId="17" borderId="13" xfId="0" applyNumberFormat="1" applyFill="1" applyBorder="1" applyAlignment="1" applyProtection="1">
      <alignment vertical="center"/>
      <protection hidden="1"/>
    </xf>
    <xf numFmtId="167" fontId="0" fillId="0" borderId="13" xfId="2" applyNumberFormat="1" applyFont="1" applyBorder="1" applyAlignment="1" applyProtection="1">
      <alignment vertical="center"/>
      <protection hidden="1"/>
    </xf>
    <xf numFmtId="0" fontId="0" fillId="0" borderId="0" xfId="0" applyAlignment="1" applyProtection="1">
      <alignment vertical="center"/>
      <protection hidden="1"/>
    </xf>
    <xf numFmtId="0" fontId="0" fillId="10" borderId="13" xfId="0" applyFill="1" applyBorder="1" applyAlignment="1" applyProtection="1">
      <alignment vertical="center"/>
      <protection hidden="1"/>
    </xf>
    <xf numFmtId="167" fontId="0" fillId="0" borderId="0" xfId="2" applyNumberFormat="1" applyFont="1" applyProtection="1">
      <protection hidden="1"/>
    </xf>
    <xf numFmtId="0" fontId="0" fillId="0" borderId="13" xfId="0" applyBorder="1" applyAlignment="1" applyProtection="1">
      <alignment vertical="center"/>
      <protection hidden="1"/>
    </xf>
    <xf numFmtId="167" fontId="0" fillId="17" borderId="13" xfId="0" applyNumberFormat="1" applyFill="1" applyBorder="1" applyAlignment="1" applyProtection="1">
      <alignment vertical="center"/>
      <protection hidden="1"/>
    </xf>
    <xf numFmtId="167" fontId="0" fillId="0" borderId="13" xfId="0" applyNumberFormat="1" applyBorder="1" applyAlignment="1" applyProtection="1">
      <alignment vertical="center"/>
      <protection hidden="1"/>
    </xf>
    <xf numFmtId="0" fontId="0" fillId="10" borderId="13" xfId="0" applyFill="1" applyBorder="1" applyAlignment="1" applyProtection="1">
      <alignment horizontal="center" vertical="center"/>
      <protection hidden="1"/>
    </xf>
    <xf numFmtId="9" fontId="0" fillId="0" borderId="13" xfId="3" applyFont="1" applyBorder="1" applyAlignment="1" applyProtection="1">
      <alignment horizontal="center" vertical="center"/>
      <protection hidden="1"/>
    </xf>
    <xf numFmtId="0" fontId="0" fillId="0" borderId="13" xfId="0" applyBorder="1" applyAlignment="1" applyProtection="1">
      <alignment horizontal="center" vertical="center"/>
      <protection hidden="1"/>
    </xf>
    <xf numFmtId="9" fontId="0" fillId="0" borderId="13" xfId="0" applyNumberFormat="1" applyBorder="1" applyAlignment="1" applyProtection="1">
      <alignment horizontal="center" vertical="center"/>
      <protection hidden="1"/>
    </xf>
    <xf numFmtId="166" fontId="0" fillId="17" borderId="13" xfId="0" applyNumberFormat="1" applyFill="1" applyBorder="1" applyProtection="1">
      <protection hidden="1"/>
    </xf>
    <xf numFmtId="9" fontId="0" fillId="0" borderId="13" xfId="0" applyNumberFormat="1" applyBorder="1" applyAlignment="1" applyProtection="1">
      <alignment horizontal="center"/>
      <protection hidden="1"/>
    </xf>
    <xf numFmtId="10" fontId="0" fillId="0" borderId="13" xfId="3" applyNumberFormat="1" applyFont="1" applyBorder="1" applyAlignment="1" applyProtection="1">
      <alignment horizontal="center" vertical="center"/>
      <protection hidden="1"/>
    </xf>
    <xf numFmtId="0" fontId="0" fillId="0" borderId="0" xfId="0" applyAlignment="1" applyProtection="1">
      <alignment horizontal="center" vertical="center"/>
      <protection hidden="1"/>
    </xf>
    <xf numFmtId="167" fontId="0" fillId="0" borderId="13" xfId="2" applyNumberFormat="1" applyFont="1" applyBorder="1" applyAlignment="1" applyProtection="1">
      <alignment horizontal="center" vertical="center"/>
      <protection hidden="1"/>
    </xf>
    <xf numFmtId="167" fontId="0" fillId="17" borderId="13" xfId="2" applyNumberFormat="1" applyFont="1" applyFill="1" applyBorder="1" applyProtection="1">
      <protection hidden="1"/>
    </xf>
    <xf numFmtId="167" fontId="0" fillId="0" borderId="13" xfId="0" applyNumberFormat="1" applyBorder="1" applyAlignment="1" applyProtection="1">
      <alignment horizontal="center"/>
      <protection hidden="1"/>
    </xf>
    <xf numFmtId="167" fontId="0" fillId="0" borderId="13" xfId="2" applyNumberFormat="1" applyFont="1" applyFill="1" applyBorder="1" applyAlignment="1" applyProtection="1">
      <alignment horizontal="center"/>
      <protection hidden="1"/>
    </xf>
    <xf numFmtId="0" fontId="0" fillId="0" borderId="0" xfId="0" applyAlignment="1" applyProtection="1">
      <alignment horizontal="center"/>
      <protection hidden="1"/>
    </xf>
    <xf numFmtId="0" fontId="2" fillId="12" borderId="23" xfId="0" applyFont="1" applyFill="1" applyBorder="1" applyAlignment="1" applyProtection="1">
      <alignment horizontal="center" vertical="center" wrapText="1"/>
      <protection hidden="1"/>
    </xf>
    <xf numFmtId="166" fontId="13" fillId="3" borderId="24" xfId="0" applyNumberFormat="1" applyFont="1" applyFill="1" applyBorder="1" applyProtection="1">
      <protection hidden="1"/>
    </xf>
    <xf numFmtId="44" fontId="0" fillId="0" borderId="5" xfId="2" applyFont="1" applyBorder="1" applyAlignment="1" applyProtection="1">
      <alignment horizontal="center" vertical="center"/>
      <protection hidden="1"/>
    </xf>
    <xf numFmtId="44" fontId="6" fillId="0" borderId="5" xfId="2" applyFont="1" applyBorder="1" applyAlignment="1" applyProtection="1">
      <alignment horizontal="center" vertical="center"/>
      <protection hidden="1"/>
    </xf>
    <xf numFmtId="0" fontId="2" fillId="0" borderId="0" xfId="0" applyFont="1" applyProtection="1">
      <protection hidden="1"/>
    </xf>
    <xf numFmtId="0" fontId="23" fillId="20" borderId="0" xfId="0" applyFont="1" applyFill="1" applyAlignment="1" applyProtection="1">
      <alignment horizontal="center" wrapText="1"/>
      <protection hidden="1"/>
    </xf>
    <xf numFmtId="0" fontId="13" fillId="11" borderId="0" xfId="0" applyFont="1" applyFill="1" applyAlignment="1" applyProtection="1">
      <alignment vertical="center"/>
      <protection hidden="1"/>
    </xf>
    <xf numFmtId="0" fontId="2" fillId="0" borderId="0" xfId="0" quotePrefix="1" applyFont="1" applyAlignment="1" applyProtection="1">
      <alignment horizontal="center" vertical="center"/>
      <protection hidden="1"/>
    </xf>
    <xf numFmtId="0" fontId="0" fillId="0" borderId="13" xfId="0" applyBorder="1" applyAlignment="1" applyProtection="1">
      <alignment vertical="center" wrapText="1"/>
      <protection hidden="1"/>
    </xf>
    <xf numFmtId="0" fontId="2" fillId="0" borderId="0" xfId="0" applyFont="1" applyAlignment="1" applyProtection="1">
      <alignment vertical="center"/>
      <protection hidden="1"/>
    </xf>
    <xf numFmtId="0" fontId="2" fillId="0" borderId="0" xfId="0" applyFont="1" applyAlignment="1" applyProtection="1">
      <alignment horizontal="center" vertical="center"/>
      <protection hidden="1"/>
    </xf>
    <xf numFmtId="0" fontId="0" fillId="0" borderId="2" xfId="0" applyBorder="1" applyAlignment="1">
      <alignment vertical="center"/>
    </xf>
    <xf numFmtId="0" fontId="0" fillId="11" borderId="5" xfId="0" applyFill="1" applyBorder="1" applyAlignment="1" applyProtection="1">
      <alignment horizontal="left" vertical="center" wrapText="1"/>
      <protection hidden="1"/>
    </xf>
    <xf numFmtId="43" fontId="2" fillId="0" borderId="3" xfId="1" applyFont="1" applyBorder="1" applyAlignment="1">
      <alignment vertical="center"/>
    </xf>
    <xf numFmtId="43" fontId="0" fillId="0" borderId="13" xfId="1" applyFont="1" applyBorder="1" applyAlignment="1" applyProtection="1">
      <alignment horizontal="center" vertical="center"/>
      <protection hidden="1"/>
    </xf>
    <xf numFmtId="0" fontId="2" fillId="0" borderId="4" xfId="0" applyFont="1" applyBorder="1" applyAlignment="1" applyProtection="1">
      <alignment vertical="center"/>
      <protection hidden="1"/>
    </xf>
    <xf numFmtId="0" fontId="6" fillId="0" borderId="1" xfId="0" applyFont="1" applyBorder="1" applyAlignment="1" applyProtection="1">
      <alignment vertical="center"/>
      <protection hidden="1"/>
    </xf>
    <xf numFmtId="0" fontId="2" fillId="0" borderId="1" xfId="0" applyFont="1" applyBorder="1" applyAlignment="1" applyProtection="1">
      <alignment vertical="center"/>
      <protection hidden="1"/>
    </xf>
    <xf numFmtId="0" fontId="0" fillId="0" borderId="1" xfId="0" applyBorder="1" applyAlignment="1">
      <alignment vertical="center"/>
    </xf>
    <xf numFmtId="43" fontId="0" fillId="0" borderId="13" xfId="1" applyFont="1" applyBorder="1" applyAlignment="1" applyProtection="1">
      <alignment vertical="center"/>
      <protection hidden="1"/>
    </xf>
    <xf numFmtId="0" fontId="0" fillId="13" borderId="5" xfId="0" applyFill="1" applyBorder="1" applyAlignment="1" applyProtection="1">
      <alignment horizontal="left" vertical="center" wrapText="1"/>
      <protection hidden="1"/>
    </xf>
    <xf numFmtId="0" fontId="0" fillId="11" borderId="5" xfId="0" applyFill="1" applyBorder="1" applyAlignment="1" applyProtection="1">
      <alignment horizontal="left" vertical="center" wrapText="1"/>
      <protection locked="0"/>
    </xf>
    <xf numFmtId="43" fontId="0" fillId="0" borderId="4" xfId="1" applyFont="1" applyBorder="1" applyAlignment="1">
      <alignment vertical="center"/>
    </xf>
    <xf numFmtId="43" fontId="0" fillId="0" borderId="1" xfId="1" applyFont="1" applyBorder="1" applyAlignment="1">
      <alignment vertical="center"/>
    </xf>
    <xf numFmtId="0" fontId="6" fillId="0" borderId="1" xfId="0" applyFont="1" applyBorder="1" applyAlignment="1">
      <alignment vertical="center"/>
    </xf>
    <xf numFmtId="0" fontId="0" fillId="0" borderId="4" xfId="0" applyBorder="1" applyAlignment="1">
      <alignment vertical="center"/>
    </xf>
    <xf numFmtId="43" fontId="0" fillId="0" borderId="4" xfId="1" applyFont="1" applyBorder="1" applyProtection="1"/>
    <xf numFmtId="0" fontId="2" fillId="9" borderId="25" xfId="0" applyFont="1" applyFill="1" applyBorder="1" applyAlignment="1">
      <alignment horizontal="center"/>
    </xf>
    <xf numFmtId="0" fontId="6" fillId="0" borderId="1" xfId="0" applyFont="1" applyBorder="1" applyAlignment="1">
      <alignment horizontal="center" vertical="center"/>
    </xf>
    <xf numFmtId="164" fontId="0" fillId="0" borderId="1" xfId="0" applyNumberFormat="1" applyBorder="1"/>
    <xf numFmtId="43" fontId="6" fillId="0" borderId="1" xfId="1" applyFont="1" applyBorder="1" applyProtection="1"/>
    <xf numFmtId="43" fontId="0" fillId="0" borderId="1" xfId="1" applyFont="1" applyBorder="1" applyProtection="1"/>
    <xf numFmtId="0" fontId="3" fillId="0" borderId="1" xfId="0" applyFont="1" applyBorder="1"/>
    <xf numFmtId="43" fontId="2" fillId="0" borderId="1" xfId="1" applyFont="1" applyBorder="1" applyProtection="1"/>
    <xf numFmtId="43" fontId="2" fillId="0" borderId="4" xfId="1" applyFont="1" applyBorder="1" applyProtection="1"/>
    <xf numFmtId="0" fontId="21" fillId="0" borderId="0" xfId="0" applyFont="1" applyAlignment="1">
      <alignment horizontal="left" vertical="center" wrapText="1"/>
    </xf>
    <xf numFmtId="0" fontId="21" fillId="0" borderId="0" xfId="0" applyFont="1" applyAlignment="1">
      <alignment vertical="center" wrapText="1"/>
    </xf>
    <xf numFmtId="0" fontId="0" fillId="0" borderId="13" xfId="0" applyBorder="1" applyAlignment="1" applyProtection="1">
      <alignment vertical="top" wrapText="1"/>
      <protection hidden="1"/>
    </xf>
    <xf numFmtId="0" fontId="0" fillId="0" borderId="0" xfId="0" applyAlignment="1" applyProtection="1">
      <alignment vertical="top"/>
      <protection hidden="1"/>
    </xf>
    <xf numFmtId="0" fontId="23" fillId="20" borderId="0" xfId="0" applyFont="1" applyFill="1" applyAlignment="1" applyProtection="1">
      <alignment horizontal="center" vertical="top" wrapText="1"/>
      <protection hidden="1"/>
    </xf>
    <xf numFmtId="0" fontId="0" fillId="0" borderId="0" xfId="0" applyAlignment="1" applyProtection="1">
      <alignment vertical="top" wrapText="1"/>
      <protection hidden="1"/>
    </xf>
    <xf numFmtId="0" fontId="21" fillId="0" borderId="14" xfId="0" applyFont="1" applyBorder="1" applyAlignment="1">
      <alignment horizontal="left" vertical="center" wrapText="1"/>
    </xf>
    <xf numFmtId="0" fontId="21" fillId="0" borderId="36" xfId="0" applyFont="1" applyBorder="1" applyAlignment="1">
      <alignment vertical="center" wrapText="1"/>
    </xf>
    <xf numFmtId="0" fontId="21" fillId="0" borderId="37" xfId="0" applyFont="1" applyBorder="1" applyAlignment="1">
      <alignment horizontal="left" vertical="center" wrapText="1"/>
    </xf>
    <xf numFmtId="0" fontId="21" fillId="0" borderId="38" xfId="0" applyFont="1" applyBorder="1" applyAlignment="1">
      <alignment horizontal="left" vertical="center" wrapText="1"/>
    </xf>
    <xf numFmtId="0" fontId="19" fillId="11" borderId="13" xfId="0" applyFont="1" applyFill="1" applyBorder="1" applyAlignment="1">
      <alignment horizontal="center" vertical="center" wrapText="1"/>
    </xf>
    <xf numFmtId="0" fontId="19" fillId="14" borderId="14" xfId="0" applyFont="1" applyFill="1" applyBorder="1" applyAlignment="1">
      <alignment horizontal="center" vertical="center" wrapText="1"/>
    </xf>
    <xf numFmtId="0" fontId="19" fillId="14" borderId="15" xfId="0" applyFont="1" applyFill="1" applyBorder="1" applyAlignment="1">
      <alignment horizontal="center" vertical="center" wrapText="1"/>
    </xf>
    <xf numFmtId="0" fontId="19" fillId="14" borderId="31" xfId="0" applyFont="1" applyFill="1" applyBorder="1" applyAlignment="1">
      <alignment horizontal="center" vertical="center" wrapText="1"/>
    </xf>
    <xf numFmtId="44" fontId="0" fillId="0" borderId="8" xfId="2" applyFont="1"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2" fillId="12" borderId="8" xfId="0" applyFont="1" applyFill="1" applyBorder="1" applyAlignment="1">
      <alignment horizontal="center" vertical="center" wrapText="1"/>
    </xf>
    <xf numFmtId="0" fontId="20" fillId="14" borderId="13" xfId="0" applyFont="1" applyFill="1" applyBorder="1" applyAlignment="1">
      <alignment horizontal="center" vertical="center" wrapText="1"/>
    </xf>
    <xf numFmtId="165" fontId="0" fillId="0" borderId="10" xfId="0" applyNumberFormat="1" applyBorder="1" applyAlignment="1" applyProtection="1">
      <alignment horizontal="center" vertical="center" wrapText="1"/>
      <protection locked="0"/>
    </xf>
    <xf numFmtId="165" fontId="0" fillId="0" borderId="11" xfId="0" applyNumberFormat="1" applyBorder="1" applyAlignment="1" applyProtection="1">
      <alignment horizontal="center" vertical="center" wrapText="1"/>
      <protection locked="0"/>
    </xf>
    <xf numFmtId="165" fontId="0" fillId="0" borderId="12" xfId="0" applyNumberFormat="1"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0" fontId="20" fillId="14" borderId="13" xfId="0" applyFont="1" applyFill="1" applyBorder="1" applyAlignment="1">
      <alignment horizontal="center" vertical="center"/>
    </xf>
    <xf numFmtId="0" fontId="3" fillId="0" borderId="13" xfId="0" applyFont="1" applyBorder="1" applyAlignment="1">
      <alignment horizontal="center" vertical="center"/>
    </xf>
    <xf numFmtId="0" fontId="25" fillId="14" borderId="26" xfId="0" applyFont="1" applyFill="1" applyBorder="1" applyAlignment="1">
      <alignment horizontal="center"/>
    </xf>
    <xf numFmtId="0" fontId="25" fillId="14" borderId="27" xfId="0" applyFont="1" applyFill="1" applyBorder="1" applyAlignment="1">
      <alignment horizontal="center"/>
    </xf>
    <xf numFmtId="0" fontId="25" fillId="14" borderId="28" xfId="0" applyFont="1" applyFill="1" applyBorder="1" applyAlignment="1">
      <alignment horizontal="center"/>
    </xf>
    <xf numFmtId="0" fontId="0" fillId="0" borderId="5" xfId="0" applyBorder="1" applyAlignment="1">
      <alignment horizontal="center" vertical="center" wrapText="1"/>
    </xf>
    <xf numFmtId="0" fontId="7" fillId="12" borderId="2" xfId="0" applyFont="1" applyFill="1" applyBorder="1" applyAlignment="1">
      <alignment horizontal="center"/>
    </xf>
    <xf numFmtId="0" fontId="7" fillId="12" borderId="3" xfId="0" applyFont="1" applyFill="1" applyBorder="1" applyAlignment="1">
      <alignment horizontal="center"/>
    </xf>
    <xf numFmtId="0" fontId="7" fillId="12" borderId="4" xfId="0" applyFont="1" applyFill="1" applyBorder="1" applyAlignment="1">
      <alignment horizontal="center"/>
    </xf>
    <xf numFmtId="0" fontId="5" fillId="2" borderId="5" xfId="0" applyFont="1" applyFill="1" applyBorder="1" applyAlignment="1">
      <alignment horizontal="center" vertical="center" wrapText="1"/>
    </xf>
    <xf numFmtId="0" fontId="24" fillId="14" borderId="26" xfId="0" applyFont="1" applyFill="1" applyBorder="1" applyAlignment="1" applyProtection="1">
      <alignment horizontal="center"/>
      <protection hidden="1"/>
    </xf>
    <xf numFmtId="0" fontId="24" fillId="14" borderId="27" xfId="0" applyFont="1" applyFill="1" applyBorder="1" applyAlignment="1" applyProtection="1">
      <alignment horizontal="center"/>
      <protection hidden="1"/>
    </xf>
    <xf numFmtId="0" fontId="24" fillId="14" borderId="26" xfId="0" applyFont="1" applyFill="1" applyBorder="1" applyAlignment="1">
      <alignment horizontal="center"/>
    </xf>
    <xf numFmtId="0" fontId="24" fillId="14" borderId="27" xfId="0" applyFont="1" applyFill="1" applyBorder="1" applyAlignment="1">
      <alignment horizontal="center"/>
    </xf>
    <xf numFmtId="0" fontId="24" fillId="14" borderId="0" xfId="0" applyFont="1" applyFill="1" applyAlignment="1">
      <alignment horizontal="center"/>
    </xf>
    <xf numFmtId="0" fontId="7" fillId="20" borderId="35" xfId="0" applyFont="1" applyFill="1" applyBorder="1" applyAlignment="1">
      <alignment horizontal="left" wrapText="1"/>
    </xf>
  </cellXfs>
  <cellStyles count="5">
    <cellStyle name="Hipervínculo" xfId="4" builtinId="8"/>
    <cellStyle name="Millares" xfId="1" builtinId="3"/>
    <cellStyle name="Moneda" xfId="2" builtinId="4"/>
    <cellStyle name="Normal" xfId="0" builtinId="0"/>
    <cellStyle name="Porcentaje" xfId="3" builtinId="5"/>
  </cellStyles>
  <dxfs count="44">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
      <fill>
        <patternFill>
          <bgColor rgb="FF92D050"/>
        </patternFill>
      </fill>
    </dxf>
    <dxf>
      <fill>
        <patternFill>
          <bgColor rgb="FFFFFF00"/>
        </patternFill>
      </fill>
    </dxf>
    <dxf>
      <fill>
        <patternFill>
          <bgColor theme="5" tint="0.39994506668294322"/>
        </patternFill>
      </fill>
    </dxf>
    <dxf>
      <font>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990600</xdr:colOff>
      <xdr:row>3</xdr:row>
      <xdr:rowOff>34896</xdr:rowOff>
    </xdr:to>
    <xdr:pic>
      <xdr:nvPicPr>
        <xdr:cNvPr id="2" name="Imagen 6">
          <a:extLst>
            <a:ext uri="{FF2B5EF4-FFF2-40B4-BE49-F238E27FC236}">
              <a16:creationId xmlns:a16="http://schemas.microsoft.com/office/drawing/2014/main" id="{A4C94749-517E-408D-9AB2-08235D59E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52600" cy="587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927100</xdr:colOff>
      <xdr:row>22</xdr:row>
      <xdr:rowOff>139700</xdr:rowOff>
    </xdr:from>
    <xdr:to>
      <xdr:col>2</xdr:col>
      <xdr:colOff>7207250</xdr:colOff>
      <xdr:row>42</xdr:row>
      <xdr:rowOff>133350</xdr:rowOff>
    </xdr:to>
    <xdr:sp macro="" textlink="">
      <xdr:nvSpPr>
        <xdr:cNvPr id="7" name="CuadroTexto 6">
          <a:extLst>
            <a:ext uri="{FF2B5EF4-FFF2-40B4-BE49-F238E27FC236}">
              <a16:creationId xmlns:a16="http://schemas.microsoft.com/office/drawing/2014/main" id="{E8675D30-91ED-4DCC-B78E-715F9E129959}"/>
            </a:ext>
          </a:extLst>
        </xdr:cNvPr>
        <xdr:cNvSpPr txBox="1"/>
      </xdr:nvSpPr>
      <xdr:spPr>
        <a:xfrm>
          <a:off x="1689100" y="4191000"/>
          <a:ext cx="8388350" cy="3676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1100" b="1">
              <a:solidFill>
                <a:schemeClr val="dk1"/>
              </a:solidFill>
              <a:effectLst/>
              <a:latin typeface="+mn-lt"/>
              <a:ea typeface="+mn-ea"/>
              <a:cs typeface="+mn-cs"/>
            </a:rPr>
            <a:t>Contrato de Obra:</a:t>
          </a:r>
          <a:r>
            <a:rPr lang="es-ES_tradnl" sz="1100">
              <a:solidFill>
                <a:schemeClr val="dk1"/>
              </a:solidFill>
              <a:effectLst/>
              <a:latin typeface="+mn-lt"/>
              <a:ea typeface="+mn-ea"/>
              <a:cs typeface="+mn-cs"/>
            </a:rPr>
            <a:t> 	Etapa I de Verificación y Complementación Técnica</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Etapa II de ejecución de las obras</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CO" sz="1100">
            <a:solidFill>
              <a:schemeClr val="dk1"/>
            </a:solidFill>
            <a:effectLst/>
            <a:latin typeface="+mn-lt"/>
            <a:ea typeface="+mn-ea"/>
            <a:cs typeface="+mn-cs"/>
          </a:endParaRPr>
        </a:p>
        <a:p>
          <a:r>
            <a:rPr lang="es-ES_tradnl" sz="1100" b="1">
              <a:solidFill>
                <a:schemeClr val="dk1"/>
              </a:solidFill>
              <a:effectLst/>
              <a:latin typeface="+mn-lt"/>
              <a:ea typeface="+mn-ea"/>
              <a:cs typeface="+mn-cs"/>
            </a:rPr>
            <a:t>Contrato de Obra con Dotación:</a:t>
          </a:r>
          <a:r>
            <a:rPr lang="es-ES_tradnl" sz="1100">
              <a:solidFill>
                <a:schemeClr val="dk1"/>
              </a:solidFill>
              <a:effectLst/>
              <a:latin typeface="+mn-lt"/>
              <a:ea typeface="+mn-ea"/>
              <a:cs typeface="+mn-cs"/>
            </a:rPr>
            <a:t>  Etapa I de Verificación y Complementación Técnica</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Etapa II de ejecución de las obras</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Etapa III Dotación</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CO" sz="1100">
            <a:solidFill>
              <a:schemeClr val="dk1"/>
            </a:solidFill>
            <a:effectLst/>
            <a:latin typeface="+mn-lt"/>
            <a:ea typeface="+mn-ea"/>
            <a:cs typeface="+mn-cs"/>
          </a:endParaRPr>
        </a:p>
        <a:p>
          <a:r>
            <a:rPr lang="es-ES_tradnl" sz="1100" b="1">
              <a:solidFill>
                <a:schemeClr val="dk1"/>
              </a:solidFill>
              <a:effectLst/>
              <a:latin typeface="+mn-lt"/>
              <a:ea typeface="+mn-ea"/>
              <a:cs typeface="+mn-cs"/>
            </a:rPr>
            <a:t>Contrato de Estructuración:</a:t>
          </a:r>
          <a:r>
            <a:rPr lang="es-ES_tradnl" sz="1100">
              <a:solidFill>
                <a:schemeClr val="dk1"/>
              </a:solidFill>
              <a:effectLst/>
              <a:latin typeface="+mn-lt"/>
              <a:ea typeface="+mn-ea"/>
              <a:cs typeface="+mn-cs"/>
            </a:rPr>
            <a:t> 			Fase 0: Perfilamiento</a:t>
          </a:r>
        </a:p>
        <a:p>
          <a:r>
            <a:rPr lang="es-ES_tradnl" sz="1100">
              <a:solidFill>
                <a:schemeClr val="dk1"/>
              </a:solidFill>
              <a:effectLst/>
              <a:latin typeface="+mn-lt"/>
              <a:ea typeface="+mn-ea"/>
              <a:cs typeface="+mn-cs"/>
            </a:rPr>
            <a:t>				Fase I: Prefactibilidad</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Fase II: Factibilidad</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Fase III: Estudios y Diseños</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CO" sz="1100">
            <a:solidFill>
              <a:schemeClr val="dk1"/>
            </a:solidFill>
            <a:effectLst/>
            <a:latin typeface="+mn-lt"/>
            <a:ea typeface="+mn-ea"/>
            <a:cs typeface="+mn-cs"/>
          </a:endParaRPr>
        </a:p>
        <a:p>
          <a:r>
            <a:rPr lang="es-ES_tradnl" sz="1100" b="1">
              <a:solidFill>
                <a:schemeClr val="dk1"/>
              </a:solidFill>
              <a:effectLst/>
              <a:latin typeface="+mn-lt"/>
              <a:ea typeface="+mn-ea"/>
              <a:cs typeface="+mn-cs"/>
            </a:rPr>
            <a:t>Contrato de Diagnóstico y Obra:</a:t>
          </a:r>
          <a:r>
            <a:rPr lang="es-ES_tradnl" sz="1100">
              <a:solidFill>
                <a:schemeClr val="dk1"/>
              </a:solidFill>
              <a:effectLst/>
              <a:latin typeface="+mn-lt"/>
              <a:ea typeface="+mn-ea"/>
              <a:cs typeface="+mn-cs"/>
            </a:rPr>
            <a:t>	Etapa I: Diagnóstico y plan de intervención.</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Etapa II: Ejecución de Obras de intervención.</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CO" sz="1100">
            <a:solidFill>
              <a:schemeClr val="dk1"/>
            </a:solidFill>
            <a:effectLst/>
            <a:latin typeface="+mn-lt"/>
            <a:ea typeface="+mn-ea"/>
            <a:cs typeface="+mn-cs"/>
          </a:endParaRPr>
        </a:p>
        <a:p>
          <a:r>
            <a:rPr lang="es-ES_tradnl" sz="1100" b="1">
              <a:solidFill>
                <a:schemeClr val="dk1"/>
              </a:solidFill>
              <a:effectLst/>
              <a:latin typeface="+mn-lt"/>
              <a:ea typeface="+mn-ea"/>
              <a:cs typeface="+mn-cs"/>
            </a:rPr>
            <a:t>Contrato de Obra y Estructuración:</a:t>
          </a:r>
          <a:r>
            <a:rPr lang="es-ES_tradnl" sz="1100">
              <a:solidFill>
                <a:schemeClr val="dk1"/>
              </a:solidFill>
              <a:effectLst/>
              <a:latin typeface="+mn-lt"/>
              <a:ea typeface="+mn-ea"/>
              <a:cs typeface="+mn-cs"/>
            </a:rPr>
            <a:t> 	Fase I: Construcción</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Fase II: Acompañamiento Post-Construcción</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Fase III: Estructuración y fortalecimiento institucional</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CO" sz="1100">
            <a:solidFill>
              <a:schemeClr val="dk1"/>
            </a:solidFill>
            <a:effectLst/>
            <a:latin typeface="+mn-lt"/>
            <a:ea typeface="+mn-ea"/>
            <a:cs typeface="+mn-cs"/>
          </a:endParaRPr>
        </a:p>
        <a:p>
          <a:r>
            <a:rPr lang="es-ES_tradnl" sz="1100" b="1">
              <a:solidFill>
                <a:schemeClr val="dk1"/>
              </a:solidFill>
              <a:effectLst/>
              <a:latin typeface="+mn-lt"/>
              <a:ea typeface="+mn-ea"/>
              <a:cs typeface="+mn-cs"/>
            </a:rPr>
            <a:t>Contrato de Consultoría:</a:t>
          </a:r>
          <a:r>
            <a:rPr lang="es-ES_tradnl" sz="1100">
              <a:solidFill>
                <a:schemeClr val="dk1"/>
              </a:solidFill>
              <a:effectLst/>
              <a:latin typeface="+mn-lt"/>
              <a:ea typeface="+mn-ea"/>
              <a:cs typeface="+mn-cs"/>
            </a:rPr>
            <a:t>	Etapa I: Gestión Social / Levantamiento de Información</a:t>
          </a:r>
          <a:endParaRPr lang="es-CO" sz="1100">
            <a:solidFill>
              <a:schemeClr val="dk1"/>
            </a:solidFill>
            <a:effectLst/>
            <a:latin typeface="+mn-lt"/>
            <a:ea typeface="+mn-ea"/>
            <a:cs typeface="+mn-cs"/>
          </a:endParaRPr>
        </a:p>
        <a:p>
          <a:r>
            <a:rPr lang="es-ES_tradnl" sz="1100">
              <a:solidFill>
                <a:schemeClr val="dk1"/>
              </a:solidFill>
              <a:effectLst/>
              <a:latin typeface="+mn-lt"/>
              <a:ea typeface="+mn-ea"/>
              <a:cs typeface="+mn-cs"/>
            </a:rPr>
            <a:t>				Etapa II: Procesamiento y entrega de informes</a:t>
          </a:r>
          <a:endParaRPr lang="es-CO" sz="1100">
            <a:solidFill>
              <a:schemeClr val="dk1"/>
            </a:solidFill>
            <a:effectLst/>
            <a:latin typeface="+mn-lt"/>
            <a:ea typeface="+mn-ea"/>
            <a:cs typeface="+mn-cs"/>
          </a:endParaRPr>
        </a:p>
        <a:p>
          <a:endParaRPr lang="es-CO" sz="1100"/>
        </a:p>
      </xdr:txBody>
    </xdr:sp>
    <xdr:clientData/>
  </xdr:twoCellAnchor>
  <xdr:twoCellAnchor editAs="oneCell">
    <xdr:from>
      <xdr:col>2</xdr:col>
      <xdr:colOff>927100</xdr:colOff>
      <xdr:row>104</xdr:row>
      <xdr:rowOff>165100</xdr:rowOff>
    </xdr:from>
    <xdr:to>
      <xdr:col>2</xdr:col>
      <xdr:colOff>1206500</xdr:colOff>
      <xdr:row>106</xdr:row>
      <xdr:rowOff>53340</xdr:rowOff>
    </xdr:to>
    <xdr:pic>
      <xdr:nvPicPr>
        <xdr:cNvPr id="8" name="Imagen 7" descr="Icono&#10;&#10;Descripción generada automáticamente">
          <a:extLst>
            <a:ext uri="{FF2B5EF4-FFF2-40B4-BE49-F238E27FC236}">
              <a16:creationId xmlns:a16="http://schemas.microsoft.com/office/drawing/2014/main" id="{3764999E-6445-4354-8831-CEBD3DB2C61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7789" r="16106" b="16346"/>
        <a:stretch/>
      </xdr:blipFill>
      <xdr:spPr bwMode="auto">
        <a:xfrm>
          <a:off x="3797300" y="23501350"/>
          <a:ext cx="279400" cy="256540"/>
        </a:xfrm>
        <a:prstGeom prst="rect">
          <a:avLst/>
        </a:prstGeom>
        <a:ln>
          <a:noFill/>
        </a:ln>
        <a:extLst>
          <a:ext uri="{53640926-AAD7-44D8-BBD7-CCE9431645EC}">
            <a14:shadowObscured xmlns:a14="http://schemas.microsoft.com/office/drawing/2010/main"/>
          </a:ext>
        </a:extLst>
      </xdr:spPr>
    </xdr:pic>
    <xdr:clientData/>
  </xdr:twoCellAnchor>
  <xdr:oneCellAnchor>
    <xdr:from>
      <xdr:col>2</xdr:col>
      <xdr:colOff>958850</xdr:colOff>
      <xdr:row>122</xdr:row>
      <xdr:rowOff>165100</xdr:rowOff>
    </xdr:from>
    <xdr:ext cx="279400" cy="256540"/>
    <xdr:pic>
      <xdr:nvPicPr>
        <xdr:cNvPr id="9" name="Imagen 8" descr="Icono&#10;&#10;Descripción generada automáticamente">
          <a:extLst>
            <a:ext uri="{FF2B5EF4-FFF2-40B4-BE49-F238E27FC236}">
              <a16:creationId xmlns:a16="http://schemas.microsoft.com/office/drawing/2014/main" id="{84584B0D-4322-49A8-A468-D38E6C7B8FD5}"/>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7789" r="16106" b="16346"/>
        <a:stretch/>
      </xdr:blipFill>
      <xdr:spPr bwMode="auto">
        <a:xfrm>
          <a:off x="3829050" y="23647400"/>
          <a:ext cx="279400" cy="256540"/>
        </a:xfrm>
        <a:prstGeom prst="rect">
          <a:avLst/>
        </a:prstGeom>
        <a:ln>
          <a:noFill/>
        </a:ln>
        <a:extLst>
          <a:ext uri="{53640926-AAD7-44D8-BBD7-CCE9431645EC}">
            <a14:shadowObscured xmlns:a14="http://schemas.microsoft.com/office/drawing/2010/main"/>
          </a:ext>
        </a:extLst>
      </xdr:spPr>
    </xdr:pic>
    <xdr:clientData/>
  </xdr:oneCellAnchor>
  <xdr:oneCellAnchor>
    <xdr:from>
      <xdr:col>2</xdr:col>
      <xdr:colOff>933450</xdr:colOff>
      <xdr:row>80</xdr:row>
      <xdr:rowOff>114300</xdr:rowOff>
    </xdr:from>
    <xdr:ext cx="279400" cy="256540"/>
    <xdr:pic>
      <xdr:nvPicPr>
        <xdr:cNvPr id="10" name="Imagen 9" descr="Icono&#10;&#10;Descripción generada automáticamente">
          <a:extLst>
            <a:ext uri="{FF2B5EF4-FFF2-40B4-BE49-F238E27FC236}">
              <a16:creationId xmlns:a16="http://schemas.microsoft.com/office/drawing/2014/main" id="{8F833C1D-116A-4F51-95F7-6DEEF711FB72}"/>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85" t="17789" r="16106" b="16346"/>
        <a:stretch/>
      </xdr:blipFill>
      <xdr:spPr bwMode="auto">
        <a:xfrm>
          <a:off x="3803650" y="17741900"/>
          <a:ext cx="279400" cy="256540"/>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0</xdr:col>
      <xdr:colOff>0</xdr:colOff>
      <xdr:row>136</xdr:row>
      <xdr:rowOff>158751</xdr:rowOff>
    </xdr:from>
    <xdr:to>
      <xdr:col>2</xdr:col>
      <xdr:colOff>2553855</xdr:colOff>
      <xdr:row>146</xdr:row>
      <xdr:rowOff>107951</xdr:rowOff>
    </xdr:to>
    <xdr:pic>
      <xdr:nvPicPr>
        <xdr:cNvPr id="11" name="Imagen 10">
          <a:extLst>
            <a:ext uri="{FF2B5EF4-FFF2-40B4-BE49-F238E27FC236}">
              <a16:creationId xmlns:a16="http://schemas.microsoft.com/office/drawing/2014/main" id="{AB07283C-444C-4052-BA96-F3DAB2C0F9BC}"/>
            </a:ext>
          </a:extLst>
        </xdr:cNvPr>
        <xdr:cNvPicPr>
          <a:picLocks noChangeAspect="1"/>
        </xdr:cNvPicPr>
      </xdr:nvPicPr>
      <xdr:blipFill rotWithShape="1">
        <a:blip xmlns:r="http://schemas.openxmlformats.org/officeDocument/2006/relationships" r:embed="rId3"/>
        <a:srcRect l="4721" t="51858" r="40896" b="16225"/>
        <a:stretch/>
      </xdr:blipFill>
      <xdr:spPr>
        <a:xfrm>
          <a:off x="0" y="33051751"/>
          <a:ext cx="5424055" cy="1790700"/>
        </a:xfrm>
        <a:prstGeom prst="rect">
          <a:avLst/>
        </a:prstGeom>
      </xdr:spPr>
    </xdr:pic>
    <xdr:clientData/>
  </xdr:twoCellAnchor>
  <xdr:twoCellAnchor editAs="oneCell">
    <xdr:from>
      <xdr:col>2</xdr:col>
      <xdr:colOff>3713194</xdr:colOff>
      <xdr:row>136</xdr:row>
      <xdr:rowOff>165101</xdr:rowOff>
    </xdr:from>
    <xdr:to>
      <xdr:col>5</xdr:col>
      <xdr:colOff>50800</xdr:colOff>
      <xdr:row>146</xdr:row>
      <xdr:rowOff>127001</xdr:rowOff>
    </xdr:to>
    <xdr:pic>
      <xdr:nvPicPr>
        <xdr:cNvPr id="4" name="Imagen 3">
          <a:extLst>
            <a:ext uri="{FF2B5EF4-FFF2-40B4-BE49-F238E27FC236}">
              <a16:creationId xmlns:a16="http://schemas.microsoft.com/office/drawing/2014/main" id="{C66A757A-4710-4089-8A4B-FC4B7C45DD88}"/>
            </a:ext>
          </a:extLst>
        </xdr:cNvPr>
        <xdr:cNvPicPr>
          <a:picLocks noChangeAspect="1"/>
        </xdr:cNvPicPr>
      </xdr:nvPicPr>
      <xdr:blipFill rotWithShape="1">
        <a:blip xmlns:r="http://schemas.openxmlformats.org/officeDocument/2006/relationships" r:embed="rId4"/>
        <a:srcRect l="13439" t="32102" r="37770" b="37154"/>
        <a:stretch/>
      </xdr:blipFill>
      <xdr:spPr>
        <a:xfrm>
          <a:off x="6583394" y="33058101"/>
          <a:ext cx="5087906" cy="1803400"/>
        </a:xfrm>
        <a:prstGeom prst="rect">
          <a:avLst/>
        </a:prstGeom>
      </xdr:spPr>
    </xdr:pic>
    <xdr:clientData/>
  </xdr:twoCellAnchor>
  <xdr:twoCellAnchor>
    <xdr:from>
      <xdr:col>2</xdr:col>
      <xdr:colOff>2628900</xdr:colOff>
      <xdr:row>139</xdr:row>
      <xdr:rowOff>133350</xdr:rowOff>
    </xdr:from>
    <xdr:to>
      <xdr:col>2</xdr:col>
      <xdr:colOff>3613150</xdr:colOff>
      <xdr:row>143</xdr:row>
      <xdr:rowOff>0</xdr:rowOff>
    </xdr:to>
    <xdr:sp macro="" textlink="">
      <xdr:nvSpPr>
        <xdr:cNvPr id="5" name="Flecha: a la derecha 4">
          <a:extLst>
            <a:ext uri="{FF2B5EF4-FFF2-40B4-BE49-F238E27FC236}">
              <a16:creationId xmlns:a16="http://schemas.microsoft.com/office/drawing/2014/main" id="{07941F98-625E-46A6-B17E-8FB3F257940D}"/>
            </a:ext>
          </a:extLst>
        </xdr:cNvPr>
        <xdr:cNvSpPr/>
      </xdr:nvSpPr>
      <xdr:spPr>
        <a:xfrm>
          <a:off x="5499100" y="33578800"/>
          <a:ext cx="984250"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260351</xdr:colOff>
      <xdr:row>154</xdr:row>
      <xdr:rowOff>152401</xdr:rowOff>
    </xdr:from>
    <xdr:to>
      <xdr:col>2</xdr:col>
      <xdr:colOff>2768601</xdr:colOff>
      <xdr:row>160</xdr:row>
      <xdr:rowOff>7635</xdr:rowOff>
    </xdr:to>
    <xdr:pic>
      <xdr:nvPicPr>
        <xdr:cNvPr id="6" name="Imagen 5">
          <a:extLst>
            <a:ext uri="{FF2B5EF4-FFF2-40B4-BE49-F238E27FC236}">
              <a16:creationId xmlns:a16="http://schemas.microsoft.com/office/drawing/2014/main" id="{AC385BAE-85B6-49DD-A43D-5EDA082CD8FD}"/>
            </a:ext>
          </a:extLst>
        </xdr:cNvPr>
        <xdr:cNvPicPr>
          <a:picLocks noChangeAspect="1"/>
        </xdr:cNvPicPr>
      </xdr:nvPicPr>
      <xdr:blipFill rotWithShape="1">
        <a:blip xmlns:r="http://schemas.openxmlformats.org/officeDocument/2006/relationships" r:embed="rId5"/>
        <a:srcRect l="2500" t="62045" r="31554" b="17027"/>
        <a:stretch/>
      </xdr:blipFill>
      <xdr:spPr>
        <a:xfrm>
          <a:off x="260351" y="37318951"/>
          <a:ext cx="5378450" cy="960134"/>
        </a:xfrm>
        <a:prstGeom prst="rect">
          <a:avLst/>
        </a:prstGeom>
      </xdr:spPr>
    </xdr:pic>
    <xdr:clientData/>
  </xdr:twoCellAnchor>
  <xdr:twoCellAnchor editAs="oneCell">
    <xdr:from>
      <xdr:col>2</xdr:col>
      <xdr:colOff>3962400</xdr:colOff>
      <xdr:row>152</xdr:row>
      <xdr:rowOff>159248</xdr:rowOff>
    </xdr:from>
    <xdr:to>
      <xdr:col>5</xdr:col>
      <xdr:colOff>139700</xdr:colOff>
      <xdr:row>163</xdr:row>
      <xdr:rowOff>88899</xdr:rowOff>
    </xdr:to>
    <xdr:pic>
      <xdr:nvPicPr>
        <xdr:cNvPr id="12" name="Imagen 11">
          <a:extLst>
            <a:ext uri="{FF2B5EF4-FFF2-40B4-BE49-F238E27FC236}">
              <a16:creationId xmlns:a16="http://schemas.microsoft.com/office/drawing/2014/main" id="{02D43E4E-5574-4B79-AD2A-0A7DA5211C8A}"/>
            </a:ext>
          </a:extLst>
        </xdr:cNvPr>
        <xdr:cNvPicPr>
          <a:picLocks noChangeAspect="1"/>
        </xdr:cNvPicPr>
      </xdr:nvPicPr>
      <xdr:blipFill rotWithShape="1">
        <a:blip xmlns:r="http://schemas.openxmlformats.org/officeDocument/2006/relationships" r:embed="rId6"/>
        <a:srcRect l="10972" t="33584" r="32492" b="26535"/>
        <a:stretch/>
      </xdr:blipFill>
      <xdr:spPr>
        <a:xfrm>
          <a:off x="6832600" y="37141648"/>
          <a:ext cx="4927600" cy="1955301"/>
        </a:xfrm>
        <a:prstGeom prst="rect">
          <a:avLst/>
        </a:prstGeom>
      </xdr:spPr>
    </xdr:pic>
    <xdr:clientData/>
  </xdr:twoCellAnchor>
  <xdr:twoCellAnchor>
    <xdr:from>
      <xdr:col>2</xdr:col>
      <xdr:colOff>2813050</xdr:colOff>
      <xdr:row>155</xdr:row>
      <xdr:rowOff>63500</xdr:rowOff>
    </xdr:from>
    <xdr:to>
      <xdr:col>2</xdr:col>
      <xdr:colOff>3797300</xdr:colOff>
      <xdr:row>158</xdr:row>
      <xdr:rowOff>114300</xdr:rowOff>
    </xdr:to>
    <xdr:sp macro="" textlink="">
      <xdr:nvSpPr>
        <xdr:cNvPr id="13" name="Flecha: a la derecha 12">
          <a:extLst>
            <a:ext uri="{FF2B5EF4-FFF2-40B4-BE49-F238E27FC236}">
              <a16:creationId xmlns:a16="http://schemas.microsoft.com/office/drawing/2014/main" id="{71D92CAE-ECB1-4A22-9987-F7FCEBCED0D7}"/>
            </a:ext>
          </a:extLst>
        </xdr:cNvPr>
        <xdr:cNvSpPr/>
      </xdr:nvSpPr>
      <xdr:spPr>
        <a:xfrm>
          <a:off x="5683250" y="36087050"/>
          <a:ext cx="984250"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1745623</xdr:colOff>
      <xdr:row>169</xdr:row>
      <xdr:rowOff>88900</xdr:rowOff>
    </xdr:from>
    <xdr:to>
      <xdr:col>2</xdr:col>
      <xdr:colOff>2434535</xdr:colOff>
      <xdr:row>181</xdr:row>
      <xdr:rowOff>82007</xdr:rowOff>
    </xdr:to>
    <xdr:pic>
      <xdr:nvPicPr>
        <xdr:cNvPr id="14" name="Imagen 13">
          <a:extLst>
            <a:ext uri="{FF2B5EF4-FFF2-40B4-BE49-F238E27FC236}">
              <a16:creationId xmlns:a16="http://schemas.microsoft.com/office/drawing/2014/main" id="{3A077751-FC68-4EDE-9C59-3992A9C038DB}"/>
            </a:ext>
          </a:extLst>
        </xdr:cNvPr>
        <xdr:cNvPicPr>
          <a:picLocks noChangeAspect="1"/>
        </xdr:cNvPicPr>
      </xdr:nvPicPr>
      <xdr:blipFill>
        <a:blip xmlns:r="http://schemas.openxmlformats.org/officeDocument/2006/relationships" r:embed="rId7"/>
        <a:stretch>
          <a:fillRect/>
        </a:stretch>
      </xdr:blipFill>
      <xdr:spPr>
        <a:xfrm>
          <a:off x="2507623" y="38690550"/>
          <a:ext cx="2797112" cy="2202907"/>
        </a:xfrm>
        <a:prstGeom prst="rect">
          <a:avLst/>
        </a:prstGeom>
      </xdr:spPr>
    </xdr:pic>
    <xdr:clientData/>
  </xdr:twoCellAnchor>
  <xdr:twoCellAnchor editAs="oneCell">
    <xdr:from>
      <xdr:col>2</xdr:col>
      <xdr:colOff>4082806</xdr:colOff>
      <xdr:row>166</xdr:row>
      <xdr:rowOff>139700</xdr:rowOff>
    </xdr:from>
    <xdr:to>
      <xdr:col>5</xdr:col>
      <xdr:colOff>267915</xdr:colOff>
      <xdr:row>181</xdr:row>
      <xdr:rowOff>72298</xdr:rowOff>
    </xdr:to>
    <xdr:pic>
      <xdr:nvPicPr>
        <xdr:cNvPr id="15" name="Imagen 14">
          <a:extLst>
            <a:ext uri="{FF2B5EF4-FFF2-40B4-BE49-F238E27FC236}">
              <a16:creationId xmlns:a16="http://schemas.microsoft.com/office/drawing/2014/main" id="{9F9EA62D-7349-4C0D-AAAE-3B90DE23FB40}"/>
            </a:ext>
          </a:extLst>
        </xdr:cNvPr>
        <xdr:cNvPicPr>
          <a:picLocks noChangeAspect="1"/>
        </xdr:cNvPicPr>
      </xdr:nvPicPr>
      <xdr:blipFill>
        <a:blip xmlns:r="http://schemas.openxmlformats.org/officeDocument/2006/relationships" r:embed="rId8"/>
        <a:stretch>
          <a:fillRect/>
        </a:stretch>
      </xdr:blipFill>
      <xdr:spPr>
        <a:xfrm>
          <a:off x="6953006" y="38188900"/>
          <a:ext cx="4935409" cy="2694848"/>
        </a:xfrm>
        <a:prstGeom prst="rect">
          <a:avLst/>
        </a:prstGeom>
      </xdr:spPr>
    </xdr:pic>
    <xdr:clientData/>
  </xdr:twoCellAnchor>
  <xdr:twoCellAnchor>
    <xdr:from>
      <xdr:col>2</xdr:col>
      <xdr:colOff>2673350</xdr:colOff>
      <xdr:row>173</xdr:row>
      <xdr:rowOff>146050</xdr:rowOff>
    </xdr:from>
    <xdr:to>
      <xdr:col>2</xdr:col>
      <xdr:colOff>3657600</xdr:colOff>
      <xdr:row>177</xdr:row>
      <xdr:rowOff>12700</xdr:rowOff>
    </xdr:to>
    <xdr:sp macro="" textlink="">
      <xdr:nvSpPr>
        <xdr:cNvPr id="16" name="Flecha: a la derecha 15">
          <a:extLst>
            <a:ext uri="{FF2B5EF4-FFF2-40B4-BE49-F238E27FC236}">
              <a16:creationId xmlns:a16="http://schemas.microsoft.com/office/drawing/2014/main" id="{4A6BDE45-74AF-475E-B6E0-4AD0E657703B}"/>
            </a:ext>
          </a:extLst>
        </xdr:cNvPr>
        <xdr:cNvSpPr/>
      </xdr:nvSpPr>
      <xdr:spPr>
        <a:xfrm>
          <a:off x="5543550" y="39484300"/>
          <a:ext cx="984250"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185</xdr:row>
      <xdr:rowOff>24575</xdr:rowOff>
    </xdr:from>
    <xdr:to>
      <xdr:col>2</xdr:col>
      <xdr:colOff>3128688</xdr:colOff>
      <xdr:row>195</xdr:row>
      <xdr:rowOff>28001</xdr:rowOff>
    </xdr:to>
    <xdr:pic>
      <xdr:nvPicPr>
        <xdr:cNvPr id="3" name="Imagen 2">
          <a:extLst>
            <a:ext uri="{FF2B5EF4-FFF2-40B4-BE49-F238E27FC236}">
              <a16:creationId xmlns:a16="http://schemas.microsoft.com/office/drawing/2014/main" id="{85A1025D-D521-4C37-B6D0-5586D94B922B}"/>
            </a:ext>
          </a:extLst>
        </xdr:cNvPr>
        <xdr:cNvPicPr>
          <a:picLocks noChangeAspect="1"/>
        </xdr:cNvPicPr>
      </xdr:nvPicPr>
      <xdr:blipFill>
        <a:blip xmlns:r="http://schemas.openxmlformats.org/officeDocument/2006/relationships" r:embed="rId9"/>
        <a:stretch>
          <a:fillRect/>
        </a:stretch>
      </xdr:blipFill>
      <xdr:spPr>
        <a:xfrm>
          <a:off x="0" y="41572625"/>
          <a:ext cx="5998888" cy="1844926"/>
        </a:xfrm>
        <a:prstGeom prst="rect">
          <a:avLst/>
        </a:prstGeom>
      </xdr:spPr>
    </xdr:pic>
    <xdr:clientData/>
  </xdr:twoCellAnchor>
  <xdr:twoCellAnchor editAs="oneCell">
    <xdr:from>
      <xdr:col>2</xdr:col>
      <xdr:colOff>3841750</xdr:colOff>
      <xdr:row>184</xdr:row>
      <xdr:rowOff>180852</xdr:rowOff>
    </xdr:from>
    <xdr:to>
      <xdr:col>4</xdr:col>
      <xdr:colOff>624137</xdr:colOff>
      <xdr:row>195</xdr:row>
      <xdr:rowOff>151839</xdr:rowOff>
    </xdr:to>
    <xdr:pic>
      <xdr:nvPicPr>
        <xdr:cNvPr id="17" name="Imagen 16">
          <a:extLst>
            <a:ext uri="{FF2B5EF4-FFF2-40B4-BE49-F238E27FC236}">
              <a16:creationId xmlns:a16="http://schemas.microsoft.com/office/drawing/2014/main" id="{7E45C5AF-18BF-4EED-A3EB-B75964691D06}"/>
            </a:ext>
          </a:extLst>
        </xdr:cNvPr>
        <xdr:cNvPicPr>
          <a:picLocks noChangeAspect="1"/>
        </xdr:cNvPicPr>
      </xdr:nvPicPr>
      <xdr:blipFill>
        <a:blip xmlns:r="http://schemas.openxmlformats.org/officeDocument/2006/relationships" r:embed="rId10"/>
        <a:stretch>
          <a:fillRect/>
        </a:stretch>
      </xdr:blipFill>
      <xdr:spPr>
        <a:xfrm>
          <a:off x="6711950" y="41544752"/>
          <a:ext cx="4770687" cy="1996637"/>
        </a:xfrm>
        <a:prstGeom prst="rect">
          <a:avLst/>
        </a:prstGeom>
      </xdr:spPr>
    </xdr:pic>
    <xdr:clientData/>
  </xdr:twoCellAnchor>
  <xdr:twoCellAnchor>
    <xdr:from>
      <xdr:col>2</xdr:col>
      <xdr:colOff>3175000</xdr:colOff>
      <xdr:row>186</xdr:row>
      <xdr:rowOff>171450</xdr:rowOff>
    </xdr:from>
    <xdr:to>
      <xdr:col>2</xdr:col>
      <xdr:colOff>3841750</xdr:colOff>
      <xdr:row>190</xdr:row>
      <xdr:rowOff>38100</xdr:rowOff>
    </xdr:to>
    <xdr:sp macro="" textlink="">
      <xdr:nvSpPr>
        <xdr:cNvPr id="18" name="Flecha: a la derecha 17">
          <a:extLst>
            <a:ext uri="{FF2B5EF4-FFF2-40B4-BE49-F238E27FC236}">
              <a16:creationId xmlns:a16="http://schemas.microsoft.com/office/drawing/2014/main" id="{D646DB3D-0147-47FF-B70A-A4D215F44013}"/>
            </a:ext>
          </a:extLst>
        </xdr:cNvPr>
        <xdr:cNvSpPr/>
      </xdr:nvSpPr>
      <xdr:spPr>
        <a:xfrm>
          <a:off x="6045200" y="41903650"/>
          <a:ext cx="666750"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59468</xdr:colOff>
      <xdr:row>133</xdr:row>
      <xdr:rowOff>64585</xdr:rowOff>
    </xdr:from>
    <xdr:ext cx="3875228" cy="530658"/>
    <xdr:sp macro="" textlink="">
      <xdr:nvSpPr>
        <xdr:cNvPr id="19" name="Rectángulo 18">
          <a:extLst>
            <a:ext uri="{FF2B5EF4-FFF2-40B4-BE49-F238E27FC236}">
              <a16:creationId xmlns:a16="http://schemas.microsoft.com/office/drawing/2014/main" id="{32A484AF-2E7D-467D-8D2B-DD7013A1C537}"/>
            </a:ext>
          </a:extLst>
        </xdr:cNvPr>
        <xdr:cNvSpPr/>
      </xdr:nvSpPr>
      <xdr:spPr>
        <a:xfrm>
          <a:off x="821468" y="33363985"/>
          <a:ext cx="3875228" cy="530658"/>
        </a:xfrm>
        <a:prstGeom prst="rect">
          <a:avLst/>
        </a:prstGeom>
        <a:noFill/>
      </xdr:spPr>
      <xdr:txBody>
        <a:bodyPr wrap="none" lIns="91440" tIns="45720" rIns="91440" bIns="45720">
          <a:spAutoFit/>
        </a:bodyPr>
        <a:lstStyle/>
        <a:p>
          <a:pPr algn="ctr"/>
          <a:r>
            <a:rPr lang="es-ES" sz="2800" b="0" cap="none" spc="0">
              <a:ln w="0"/>
              <a:solidFill>
                <a:schemeClr val="accent1"/>
              </a:solidFill>
              <a:effectLst>
                <a:outerShdw blurRad="38100" dist="25400" dir="5400000" algn="ctr" rotWithShape="0">
                  <a:srgbClr val="6E747A">
                    <a:alpha val="43000"/>
                  </a:srgbClr>
                </a:outerShdw>
              </a:effectLst>
            </a:rPr>
            <a:t>Pasa del Modelo de Excel</a:t>
          </a:r>
        </a:p>
      </xdr:txBody>
    </xdr:sp>
    <xdr:clientData/>
  </xdr:oneCellAnchor>
  <xdr:oneCellAnchor>
    <xdr:from>
      <xdr:col>2</xdr:col>
      <xdr:colOff>3827727</xdr:colOff>
      <xdr:row>133</xdr:row>
      <xdr:rowOff>102685</xdr:rowOff>
    </xdr:from>
    <xdr:ext cx="3590405" cy="530658"/>
    <xdr:sp macro="" textlink="">
      <xdr:nvSpPr>
        <xdr:cNvPr id="20" name="Rectángulo 19">
          <a:extLst>
            <a:ext uri="{FF2B5EF4-FFF2-40B4-BE49-F238E27FC236}">
              <a16:creationId xmlns:a16="http://schemas.microsoft.com/office/drawing/2014/main" id="{BEBB7EB6-20A7-476F-A6CC-A86FEE189F25}"/>
            </a:ext>
          </a:extLst>
        </xdr:cNvPr>
        <xdr:cNvSpPr/>
      </xdr:nvSpPr>
      <xdr:spPr>
        <a:xfrm>
          <a:off x="6697927" y="33402085"/>
          <a:ext cx="3590405" cy="530658"/>
        </a:xfrm>
        <a:prstGeom prst="rect">
          <a:avLst/>
        </a:prstGeom>
        <a:noFill/>
      </xdr:spPr>
      <xdr:txBody>
        <a:bodyPr wrap="none" lIns="91440" tIns="45720" rIns="91440" bIns="45720">
          <a:spAutoFit/>
        </a:bodyPr>
        <a:lstStyle/>
        <a:p>
          <a:pPr algn="ctr"/>
          <a:r>
            <a:rPr lang="es-ES" sz="2800" b="0" cap="none" spc="0">
              <a:ln w="0"/>
              <a:solidFill>
                <a:schemeClr val="accent1"/>
              </a:solidFill>
              <a:effectLst>
                <a:outerShdw blurRad="38100" dist="25400" dir="5400000" algn="ctr" rotWithShape="0">
                  <a:srgbClr val="6E747A">
                    <a:alpha val="43000"/>
                  </a:srgbClr>
                </a:outerShdw>
              </a:effectLst>
            </a:rPr>
            <a:t>Al documento de Word</a:t>
          </a:r>
        </a:p>
      </xdr:txBody>
    </xdr:sp>
    <xdr:clientData/>
  </xdr:oneCellAnchor>
  <xdr:twoCellAnchor>
    <xdr:from>
      <xdr:col>2</xdr:col>
      <xdr:colOff>2616200</xdr:colOff>
      <xdr:row>133</xdr:row>
      <xdr:rowOff>95250</xdr:rowOff>
    </xdr:from>
    <xdr:to>
      <xdr:col>2</xdr:col>
      <xdr:colOff>3600450</xdr:colOff>
      <xdr:row>136</xdr:row>
      <xdr:rowOff>146050</xdr:rowOff>
    </xdr:to>
    <xdr:sp macro="" textlink="">
      <xdr:nvSpPr>
        <xdr:cNvPr id="23" name="Flecha: a la derecha 22">
          <a:extLst>
            <a:ext uri="{FF2B5EF4-FFF2-40B4-BE49-F238E27FC236}">
              <a16:creationId xmlns:a16="http://schemas.microsoft.com/office/drawing/2014/main" id="{2330C5B2-3B55-436F-9ED4-501664F0BEE9}"/>
            </a:ext>
          </a:extLst>
        </xdr:cNvPr>
        <xdr:cNvSpPr/>
      </xdr:nvSpPr>
      <xdr:spPr>
        <a:xfrm>
          <a:off x="5486400" y="33394650"/>
          <a:ext cx="984250"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203200</xdr:colOff>
      <xdr:row>0</xdr:row>
      <xdr:rowOff>1</xdr:rowOff>
    </xdr:from>
    <xdr:to>
      <xdr:col>2</xdr:col>
      <xdr:colOff>501650</xdr:colOff>
      <xdr:row>9</xdr:row>
      <xdr:rowOff>17872</xdr:rowOff>
    </xdr:to>
    <xdr:pic>
      <xdr:nvPicPr>
        <xdr:cNvPr id="2" name="Imagen 6">
          <a:extLst>
            <a:ext uri="{FF2B5EF4-FFF2-40B4-BE49-F238E27FC236}">
              <a16:creationId xmlns:a16="http://schemas.microsoft.com/office/drawing/2014/main" id="{56296561-C41B-487E-8E71-3C61CBE0B1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200" y="1"/>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939800</xdr:colOff>
      <xdr:row>2</xdr:row>
      <xdr:rowOff>132171</xdr:rowOff>
    </xdr:to>
    <xdr:pic>
      <xdr:nvPicPr>
        <xdr:cNvPr id="2" name="Imagen 6">
          <a:extLst>
            <a:ext uri="{FF2B5EF4-FFF2-40B4-BE49-F238E27FC236}">
              <a16:creationId xmlns:a16="http://schemas.microsoft.com/office/drawing/2014/main" id="{5F7CAE8C-E215-4F31-91C9-7DE271DF4F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939800</xdr:colOff>
      <xdr:row>2</xdr:row>
      <xdr:rowOff>157571</xdr:rowOff>
    </xdr:to>
    <xdr:pic>
      <xdr:nvPicPr>
        <xdr:cNvPr id="2" name="Imagen 6">
          <a:extLst>
            <a:ext uri="{FF2B5EF4-FFF2-40B4-BE49-F238E27FC236}">
              <a16:creationId xmlns:a16="http://schemas.microsoft.com/office/drawing/2014/main" id="{E71E35E3-EECB-46FF-9D44-91896B250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247650</xdr:colOff>
      <xdr:row>3</xdr:row>
      <xdr:rowOff>158750</xdr:rowOff>
    </xdr:from>
    <xdr:to>
      <xdr:col>5</xdr:col>
      <xdr:colOff>960755</xdr:colOff>
      <xdr:row>15</xdr:row>
      <xdr:rowOff>194310</xdr:rowOff>
    </xdr:to>
    <xdr:pic>
      <xdr:nvPicPr>
        <xdr:cNvPr id="3" name="1 Imagen" descr="Diagrama&#10;&#10;Descripción generada automáticamente">
          <a:extLst>
            <a:ext uri="{FF2B5EF4-FFF2-40B4-BE49-F238E27FC236}">
              <a16:creationId xmlns:a16="http://schemas.microsoft.com/office/drawing/2014/main" id="{B501C1E4-FF1F-4B61-8E8C-C7BCD4DD6E97}"/>
            </a:ext>
          </a:extLst>
        </xdr:cNvPr>
        <xdr:cNvPicPr/>
      </xdr:nvPicPr>
      <xdr:blipFill>
        <a:blip xmlns:r="http://schemas.openxmlformats.org/officeDocument/2006/relationships" r:embed="rId2"/>
        <a:stretch>
          <a:fillRect/>
        </a:stretch>
      </xdr:blipFill>
      <xdr:spPr>
        <a:xfrm>
          <a:off x="7258050" y="755650"/>
          <a:ext cx="2541905" cy="15087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1334911</xdr:colOff>
      <xdr:row>3</xdr:row>
      <xdr:rowOff>19988</xdr:rowOff>
    </xdr:to>
    <xdr:pic>
      <xdr:nvPicPr>
        <xdr:cNvPr id="2" name="Imagen 6">
          <a:extLst>
            <a:ext uri="{FF2B5EF4-FFF2-40B4-BE49-F238E27FC236}">
              <a16:creationId xmlns:a16="http://schemas.microsoft.com/office/drawing/2014/main" id="{7E69AAA8-8F4C-431A-90EC-21623F04D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939800</xdr:colOff>
      <xdr:row>2</xdr:row>
      <xdr:rowOff>202021</xdr:rowOff>
    </xdr:to>
    <xdr:pic>
      <xdr:nvPicPr>
        <xdr:cNvPr id="2" name="Imagen 6">
          <a:extLst>
            <a:ext uri="{FF2B5EF4-FFF2-40B4-BE49-F238E27FC236}">
              <a16:creationId xmlns:a16="http://schemas.microsoft.com/office/drawing/2014/main" id="{F379E95D-4839-4784-9044-B82040DA7C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939800</xdr:colOff>
      <xdr:row>3</xdr:row>
      <xdr:rowOff>17871</xdr:rowOff>
    </xdr:to>
    <xdr:pic>
      <xdr:nvPicPr>
        <xdr:cNvPr id="2" name="Imagen 6">
          <a:extLst>
            <a:ext uri="{FF2B5EF4-FFF2-40B4-BE49-F238E27FC236}">
              <a16:creationId xmlns:a16="http://schemas.microsoft.com/office/drawing/2014/main" id="{C3A6D0BF-57D8-4E5A-B6F5-BC1D581A3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44450</xdr:colOff>
      <xdr:row>0</xdr:row>
      <xdr:rowOff>0</xdr:rowOff>
    </xdr:from>
    <xdr:to>
      <xdr:col>1</xdr:col>
      <xdr:colOff>984250</xdr:colOff>
      <xdr:row>3</xdr:row>
      <xdr:rowOff>17871</xdr:rowOff>
    </xdr:to>
    <xdr:pic>
      <xdr:nvPicPr>
        <xdr:cNvPr id="2" name="Imagen 6">
          <a:extLst>
            <a:ext uri="{FF2B5EF4-FFF2-40B4-BE49-F238E27FC236}">
              <a16:creationId xmlns:a16="http://schemas.microsoft.com/office/drawing/2014/main" id="{2556E313-7D04-43DF-89D4-07A1953148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 y="0"/>
          <a:ext cx="1701800" cy="570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banrep.gov.co/es/estadisticas/trm" TargetMode="External"/><Relationship Id="rId13" Type="http://schemas.openxmlformats.org/officeDocument/2006/relationships/hyperlink" Target="https://www.taringa.net/+info/departamentos-de-colombia-por-pib-per-capita_hdxg8" TargetMode="External"/><Relationship Id="rId3" Type="http://schemas.openxmlformats.org/officeDocument/2006/relationships/hyperlink" Target="http://visor.ideam.gov.co/geovisor/" TargetMode="External"/><Relationship Id="rId7" Type="http://schemas.openxmlformats.org/officeDocument/2006/relationships/hyperlink" Target="https://moe.org.co/wp-content/uploads/2018/02/violencia_2018.png" TargetMode="External"/><Relationship Id="rId12" Type="http://schemas.openxmlformats.org/officeDocument/2006/relationships/hyperlink" Target="https://www.dane.gov.co/index.php/estadisticas-por-tema/cuentas-nacionales/cuentas-nacionales-departamentales" TargetMode="External"/><Relationship Id="rId17" Type="http://schemas.openxmlformats.org/officeDocument/2006/relationships/drawing" Target="../drawings/drawing1.xml"/><Relationship Id="rId2" Type="http://schemas.openxmlformats.org/officeDocument/2006/relationships/hyperlink" Target="https://srvags.sgc.gov.co/JSViewer/Amenaza_Sismica/" TargetMode="External"/><Relationship Id="rId16" Type="http://schemas.openxmlformats.org/officeDocument/2006/relationships/printerSettings" Target="../printerSettings/printerSettings1.bin"/><Relationship Id="rId1" Type="http://schemas.openxmlformats.org/officeDocument/2006/relationships/hyperlink" Target="http://srvags.sgc.gov.co/JSviewer/Mapas_Geologicos_Departamentales/" TargetMode="External"/><Relationship Id="rId6" Type="http://schemas.openxmlformats.org/officeDocument/2006/relationships/hyperlink" Target="http://2014.derechoshumanos.gov.co/Observatorio/Documents/Geografia-Violencia/Geografia-confrontacion-armada-colombia-1998-2011.pdf" TargetMode="External"/><Relationship Id="rId11" Type="http://schemas.openxmlformats.org/officeDocument/2006/relationships/hyperlink" Target="https://www.dane.gov.co/index.php/estadisticas-por-tema/cuentas-nacionales/cuentas-nacionales-departamentales" TargetMode="External"/><Relationship Id="rId5" Type="http://schemas.openxmlformats.org/officeDocument/2006/relationships/hyperlink" Target="https://www.researchgate.net/figure/Map-of-lightning-over-Colombia-during-2012-and-2013-in-20-by-20-km-bins-color-coded_fig5_270582408" TargetMode="External"/><Relationship Id="rId15" Type="http://schemas.openxmlformats.org/officeDocument/2006/relationships/hyperlink" Target="https://www.credendo.com/country_risk_assessment/colombia/country-risk-assessment-colombia)" TargetMode="External"/><Relationship Id="rId10" Type="http://schemas.openxmlformats.org/officeDocument/2006/relationships/hyperlink" Target="https://www.banrep.gov.co/es/estadisticas/tasas-de-interes-y-sector-financiero" TargetMode="External"/><Relationship Id="rId4" Type="http://schemas.openxmlformats.org/officeDocument/2006/relationships/hyperlink" Target="http://sig.anla.gov.co:8083/" TargetMode="External"/><Relationship Id="rId9" Type="http://schemas.openxmlformats.org/officeDocument/2006/relationships/hyperlink" Target="https://www.banrep.gov.co/es/estadisticas/indice-precios-consumidor-ipc" TargetMode="External"/><Relationship Id="rId14" Type="http://schemas.openxmlformats.org/officeDocument/2006/relationships/hyperlink" Target="https://www.coface.com/Economic-Studies-and-Country-Risk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C184"/>
  <sheetViews>
    <sheetView showGridLines="0" topLeftCell="A20" workbookViewId="0">
      <selection activeCell="C127" sqref="C127"/>
    </sheetView>
  </sheetViews>
  <sheetFormatPr baseColWidth="10" defaultRowHeight="15" x14ac:dyDescent="0.25"/>
  <cols>
    <col min="2" max="2" width="30.140625" customWidth="1"/>
    <col min="3" max="3" width="103.42578125" customWidth="1"/>
  </cols>
  <sheetData>
    <row r="4" spans="1:3" x14ac:dyDescent="0.25">
      <c r="C4" s="73" t="s">
        <v>571</v>
      </c>
    </row>
    <row r="6" spans="1:3" x14ac:dyDescent="0.25">
      <c r="A6" s="42" t="s">
        <v>789</v>
      </c>
      <c r="B6" s="92" t="s">
        <v>432</v>
      </c>
      <c r="C6" s="56" t="s">
        <v>433</v>
      </c>
    </row>
    <row r="7" spans="1:3" x14ac:dyDescent="0.25">
      <c r="A7" s="42"/>
    </row>
    <row r="8" spans="1:3" x14ac:dyDescent="0.25">
      <c r="A8" s="42" t="s">
        <v>790</v>
      </c>
      <c r="B8" s="92" t="s">
        <v>434</v>
      </c>
      <c r="C8" s="56" t="s">
        <v>435</v>
      </c>
    </row>
    <row r="9" spans="1:3" x14ac:dyDescent="0.25">
      <c r="A9" s="42"/>
    </row>
    <row r="10" spans="1:3" x14ac:dyDescent="0.25">
      <c r="A10" s="42" t="s">
        <v>791</v>
      </c>
      <c r="B10" s="92" t="s">
        <v>436</v>
      </c>
      <c r="C10" s="56" t="s">
        <v>437</v>
      </c>
    </row>
    <row r="11" spans="1:3" x14ac:dyDescent="0.25">
      <c r="A11" s="42"/>
    </row>
    <row r="12" spans="1:3" x14ac:dyDescent="0.25">
      <c r="A12" s="42" t="s">
        <v>792</v>
      </c>
      <c r="B12" s="92" t="s">
        <v>438</v>
      </c>
      <c r="C12" s="56" t="s">
        <v>439</v>
      </c>
    </row>
    <row r="13" spans="1:3" x14ac:dyDescent="0.25">
      <c r="A13" s="42"/>
    </row>
    <row r="14" spans="1:3" x14ac:dyDescent="0.25">
      <c r="A14" s="42" t="s">
        <v>793</v>
      </c>
      <c r="B14" s="92" t="s">
        <v>461</v>
      </c>
      <c r="C14" s="56" t="s">
        <v>462</v>
      </c>
    </row>
    <row r="15" spans="1:3" x14ac:dyDescent="0.25">
      <c r="A15" s="42"/>
    </row>
    <row r="16" spans="1:3" x14ac:dyDescent="0.25">
      <c r="A16" s="42" t="s">
        <v>794</v>
      </c>
      <c r="B16" s="92" t="s">
        <v>463</v>
      </c>
      <c r="C16" s="56" t="s">
        <v>464</v>
      </c>
    </row>
    <row r="17" spans="1:3" x14ac:dyDescent="0.25">
      <c r="A17" s="42"/>
    </row>
    <row r="18" spans="1:3" x14ac:dyDescent="0.25">
      <c r="A18" s="42" t="s">
        <v>795</v>
      </c>
      <c r="B18" s="92" t="s">
        <v>67</v>
      </c>
      <c r="C18" s="56" t="s">
        <v>440</v>
      </c>
    </row>
    <row r="19" spans="1:3" x14ac:dyDescent="0.25">
      <c r="A19" s="42"/>
    </row>
    <row r="20" spans="1:3" x14ac:dyDescent="0.25">
      <c r="A20" s="42" t="s">
        <v>796</v>
      </c>
      <c r="B20" s="92" t="s">
        <v>441</v>
      </c>
      <c r="C20" s="56" t="s">
        <v>442</v>
      </c>
    </row>
    <row r="21" spans="1:3" x14ac:dyDescent="0.25">
      <c r="A21" s="42"/>
    </row>
    <row r="22" spans="1:3" ht="45" x14ac:dyDescent="0.25">
      <c r="A22" s="42" t="s">
        <v>797</v>
      </c>
      <c r="B22" s="92" t="s">
        <v>443</v>
      </c>
      <c r="C22" s="40" t="s">
        <v>844</v>
      </c>
    </row>
    <row r="23" spans="1:3" x14ac:dyDescent="0.25">
      <c r="A23" s="42"/>
    </row>
    <row r="24" spans="1:3" x14ac:dyDescent="0.25">
      <c r="A24" s="42"/>
    </row>
    <row r="25" spans="1:3" x14ac:dyDescent="0.25">
      <c r="A25" s="42"/>
    </row>
    <row r="26" spans="1:3" x14ac:dyDescent="0.25">
      <c r="A26" s="42"/>
    </row>
    <row r="27" spans="1:3" x14ac:dyDescent="0.25">
      <c r="A27" s="42"/>
    </row>
    <row r="28" spans="1:3" x14ac:dyDescent="0.25">
      <c r="A28" s="42"/>
    </row>
    <row r="29" spans="1:3" x14ac:dyDescent="0.25">
      <c r="A29" s="42"/>
    </row>
    <row r="30" spans="1:3" x14ac:dyDescent="0.25">
      <c r="A30" s="42"/>
    </row>
    <row r="31" spans="1:3" x14ac:dyDescent="0.25">
      <c r="A31" s="42"/>
    </row>
    <row r="32" spans="1:3" x14ac:dyDescent="0.25">
      <c r="A32" s="42"/>
    </row>
    <row r="33" spans="1:3" x14ac:dyDescent="0.25">
      <c r="A33" s="42"/>
    </row>
    <row r="34" spans="1:3" x14ac:dyDescent="0.25">
      <c r="A34" s="42"/>
    </row>
    <row r="35" spans="1:3" x14ac:dyDescent="0.25">
      <c r="A35" s="42"/>
    </row>
    <row r="36" spans="1:3" x14ac:dyDescent="0.25">
      <c r="A36" s="42"/>
    </row>
    <row r="37" spans="1:3" x14ac:dyDescent="0.25">
      <c r="A37" s="42"/>
    </row>
    <row r="38" spans="1:3" x14ac:dyDescent="0.25">
      <c r="A38" s="42"/>
    </row>
    <row r="39" spans="1:3" x14ac:dyDescent="0.25">
      <c r="A39" s="42"/>
    </row>
    <row r="40" spans="1:3" x14ac:dyDescent="0.25">
      <c r="A40" s="42"/>
    </row>
    <row r="41" spans="1:3" x14ac:dyDescent="0.25">
      <c r="A41" s="42"/>
    </row>
    <row r="42" spans="1:3" x14ac:dyDescent="0.25">
      <c r="A42" s="42"/>
    </row>
    <row r="43" spans="1:3" x14ac:dyDescent="0.25">
      <c r="A43" s="42"/>
    </row>
    <row r="44" spans="1:3" x14ac:dyDescent="0.25">
      <c r="A44" s="42"/>
    </row>
    <row r="45" spans="1:3" x14ac:dyDescent="0.25">
      <c r="A45" s="42" t="s">
        <v>798</v>
      </c>
      <c r="B45" s="92" t="s">
        <v>512</v>
      </c>
      <c r="C45" s="56" t="s">
        <v>513</v>
      </c>
    </row>
    <row r="46" spans="1:3" x14ac:dyDescent="0.25">
      <c r="A46" s="42"/>
    </row>
    <row r="47" spans="1:3" x14ac:dyDescent="0.25">
      <c r="A47" s="42"/>
    </row>
    <row r="48" spans="1:3" x14ac:dyDescent="0.25">
      <c r="A48" s="42" t="s">
        <v>799</v>
      </c>
      <c r="B48" s="92" t="s">
        <v>465</v>
      </c>
      <c r="C48" s="56" t="s">
        <v>466</v>
      </c>
    </row>
    <row r="49" spans="1:3" x14ac:dyDescent="0.25">
      <c r="A49" s="42"/>
    </row>
    <row r="50" spans="1:3" ht="120" x14ac:dyDescent="0.25">
      <c r="A50" s="42" t="s">
        <v>800</v>
      </c>
      <c r="B50" s="93" t="s">
        <v>468</v>
      </c>
      <c r="C50" s="40" t="s">
        <v>843</v>
      </c>
    </row>
    <row r="51" spans="1:3" x14ac:dyDescent="0.25">
      <c r="A51" s="42"/>
    </row>
    <row r="52" spans="1:3" x14ac:dyDescent="0.25">
      <c r="A52" s="42" t="s">
        <v>801</v>
      </c>
      <c r="B52" s="93" t="s">
        <v>467</v>
      </c>
      <c r="C52" s="56" t="s">
        <v>469</v>
      </c>
    </row>
    <row r="53" spans="1:3" ht="90" x14ac:dyDescent="0.25">
      <c r="A53" s="42"/>
      <c r="C53" s="40" t="s">
        <v>499</v>
      </c>
    </row>
    <row r="54" spans="1:3" x14ac:dyDescent="0.25">
      <c r="A54" s="42"/>
      <c r="C54" s="25"/>
    </row>
    <row r="55" spans="1:3" x14ac:dyDescent="0.25">
      <c r="A55" s="42"/>
      <c r="C55" s="95" t="s">
        <v>470</v>
      </c>
    </row>
    <row r="56" spans="1:3" x14ac:dyDescent="0.25">
      <c r="A56" s="42"/>
    </row>
    <row r="57" spans="1:3" ht="15.75" thickBot="1" x14ac:dyDescent="0.3">
      <c r="A57" s="42" t="s">
        <v>816</v>
      </c>
      <c r="B57" s="71" t="s">
        <v>471</v>
      </c>
      <c r="C57" s="43" t="s">
        <v>472</v>
      </c>
    </row>
    <row r="58" spans="1:3" ht="15.75" thickBot="1" x14ac:dyDescent="0.3">
      <c r="A58" s="42"/>
      <c r="C58" s="46" t="s">
        <v>473</v>
      </c>
    </row>
    <row r="59" spans="1:3" ht="15.75" thickBot="1" x14ac:dyDescent="0.3">
      <c r="A59" s="42"/>
      <c r="C59" s="44" t="s">
        <v>474</v>
      </c>
    </row>
    <row r="60" spans="1:3" ht="15.75" thickBot="1" x14ac:dyDescent="0.3">
      <c r="A60" s="42"/>
      <c r="C60" s="44" t="s">
        <v>475</v>
      </c>
    </row>
    <row r="61" spans="1:3" x14ac:dyDescent="0.25">
      <c r="A61" s="42"/>
    </row>
    <row r="62" spans="1:3" ht="15.75" thickBot="1" x14ac:dyDescent="0.3">
      <c r="A62" s="42"/>
      <c r="C62" s="45" t="s">
        <v>476</v>
      </c>
    </row>
    <row r="63" spans="1:3" ht="15.75" thickBot="1" x14ac:dyDescent="0.3">
      <c r="A63" s="42"/>
      <c r="C63" s="46" t="s">
        <v>477</v>
      </c>
    </row>
    <row r="64" spans="1:3" ht="15.75" thickBot="1" x14ac:dyDescent="0.3">
      <c r="A64" s="42"/>
      <c r="C64" s="44" t="s">
        <v>478</v>
      </c>
    </row>
    <row r="65" spans="1:3" ht="15.75" thickBot="1" x14ac:dyDescent="0.3">
      <c r="A65" s="42"/>
      <c r="C65" s="44" t="s">
        <v>479</v>
      </c>
    </row>
    <row r="66" spans="1:3" x14ac:dyDescent="0.25">
      <c r="A66" s="42"/>
    </row>
    <row r="67" spans="1:3" ht="15.75" thickBot="1" x14ac:dyDescent="0.3">
      <c r="A67" s="42"/>
    </row>
    <row r="68" spans="1:3" ht="30.75" thickBot="1" x14ac:dyDescent="0.3">
      <c r="A68" s="42" t="s">
        <v>817</v>
      </c>
      <c r="B68" s="71" t="s">
        <v>480</v>
      </c>
      <c r="C68" s="46" t="s">
        <v>473</v>
      </c>
    </row>
    <row r="69" spans="1:3" ht="15.75" thickBot="1" x14ac:dyDescent="0.3">
      <c r="A69" s="42"/>
      <c r="C69" s="44" t="s">
        <v>474</v>
      </c>
    </row>
    <row r="70" spans="1:3" ht="15.75" thickBot="1" x14ac:dyDescent="0.3">
      <c r="A70" s="42"/>
      <c r="C70" s="44" t="s">
        <v>475</v>
      </c>
    </row>
    <row r="71" spans="1:3" ht="15.75" thickBot="1" x14ac:dyDescent="0.3">
      <c r="A71" s="42"/>
    </row>
    <row r="72" spans="1:3" ht="15.75" thickBot="1" x14ac:dyDescent="0.3">
      <c r="A72" s="42" t="s">
        <v>818</v>
      </c>
      <c r="B72" s="71" t="s">
        <v>807</v>
      </c>
      <c r="C72" s="46" t="s">
        <v>473</v>
      </c>
    </row>
    <row r="73" spans="1:3" ht="15.75" thickBot="1" x14ac:dyDescent="0.3">
      <c r="A73" s="42"/>
      <c r="C73" s="44" t="s">
        <v>567</v>
      </c>
    </row>
    <row r="74" spans="1:3" x14ac:dyDescent="0.25">
      <c r="A74" s="42"/>
    </row>
    <row r="75" spans="1:3" ht="15.75" thickBot="1" x14ac:dyDescent="0.3">
      <c r="A75" s="42"/>
    </row>
    <row r="76" spans="1:3" ht="30.75" thickBot="1" x14ac:dyDescent="0.3">
      <c r="A76" s="42" t="s">
        <v>819</v>
      </c>
      <c r="B76" s="71" t="s">
        <v>566</v>
      </c>
      <c r="C76" s="46" t="s">
        <v>473</v>
      </c>
    </row>
    <row r="77" spans="1:3" ht="15.75" thickBot="1" x14ac:dyDescent="0.3">
      <c r="A77" s="42"/>
      <c r="C77" s="44" t="s">
        <v>481</v>
      </c>
    </row>
    <row r="78" spans="1:3" ht="15.75" thickBot="1" x14ac:dyDescent="0.3">
      <c r="A78" s="42"/>
      <c r="C78" s="72"/>
    </row>
    <row r="79" spans="1:3" ht="15.75" thickBot="1" x14ac:dyDescent="0.3">
      <c r="A79" s="42" t="s">
        <v>820</v>
      </c>
      <c r="B79" s="71" t="s">
        <v>808</v>
      </c>
      <c r="C79" s="46" t="s">
        <v>473</v>
      </c>
    </row>
    <row r="80" spans="1:3" ht="15.75" thickBot="1" x14ac:dyDescent="0.3">
      <c r="A80" s="42"/>
      <c r="C80" s="44" t="s">
        <v>809</v>
      </c>
    </row>
    <row r="81" spans="1:3" x14ac:dyDescent="0.25">
      <c r="A81" s="42"/>
      <c r="C81" s="72"/>
    </row>
    <row r="82" spans="1:3" x14ac:dyDescent="0.25">
      <c r="A82" s="42"/>
      <c r="C82" s="51" t="s">
        <v>498</v>
      </c>
    </row>
    <row r="83" spans="1:3" ht="75" x14ac:dyDescent="0.25">
      <c r="A83" s="42" t="s">
        <v>821</v>
      </c>
      <c r="B83" s="71" t="s">
        <v>810</v>
      </c>
      <c r="C83" s="50" t="s">
        <v>568</v>
      </c>
    </row>
    <row r="84" spans="1:3" x14ac:dyDescent="0.25">
      <c r="A84" s="42"/>
    </row>
    <row r="85" spans="1:3" ht="30" x14ac:dyDescent="0.25">
      <c r="A85" s="42" t="s">
        <v>802</v>
      </c>
      <c r="B85" s="93" t="s">
        <v>482</v>
      </c>
      <c r="C85" s="40" t="s">
        <v>773</v>
      </c>
    </row>
    <row r="86" spans="1:3" ht="30" x14ac:dyDescent="0.25">
      <c r="A86" s="42"/>
      <c r="C86" s="40" t="s">
        <v>483</v>
      </c>
    </row>
    <row r="87" spans="1:3" ht="30" x14ac:dyDescent="0.25">
      <c r="A87" s="42"/>
      <c r="C87" s="40" t="s">
        <v>484</v>
      </c>
    </row>
    <row r="88" spans="1:3" x14ac:dyDescent="0.25">
      <c r="A88" s="42" t="s">
        <v>803</v>
      </c>
      <c r="B88" s="71" t="s">
        <v>492</v>
      </c>
    </row>
    <row r="89" spans="1:3" x14ac:dyDescent="0.25">
      <c r="A89" s="42" t="s">
        <v>822</v>
      </c>
      <c r="B89" s="94" t="s">
        <v>569</v>
      </c>
      <c r="C89" s="49" t="s">
        <v>487</v>
      </c>
    </row>
    <row r="90" spans="1:3" ht="30" x14ac:dyDescent="0.25">
      <c r="A90" s="42" t="s">
        <v>823</v>
      </c>
      <c r="B90" s="96" t="s">
        <v>570</v>
      </c>
      <c r="C90" s="47" t="s">
        <v>491</v>
      </c>
    </row>
    <row r="91" spans="1:3" x14ac:dyDescent="0.25">
      <c r="A91" s="42" t="s">
        <v>824</v>
      </c>
      <c r="B91" s="231" t="s">
        <v>489</v>
      </c>
      <c r="C91" s="47" t="s">
        <v>485</v>
      </c>
    </row>
    <row r="92" spans="1:3" x14ac:dyDescent="0.25">
      <c r="A92" s="42"/>
      <c r="B92" s="231"/>
      <c r="C92" s="47" t="s">
        <v>486</v>
      </c>
    </row>
    <row r="93" spans="1:3" x14ac:dyDescent="0.25">
      <c r="A93" s="42" t="s">
        <v>804</v>
      </c>
      <c r="B93" s="97" t="s">
        <v>488</v>
      </c>
      <c r="C93" s="48" t="s">
        <v>490</v>
      </c>
    </row>
    <row r="94" spans="1:3" x14ac:dyDescent="0.25">
      <c r="A94" s="42"/>
    </row>
    <row r="95" spans="1:3" x14ac:dyDescent="0.25">
      <c r="A95" s="42" t="s">
        <v>805</v>
      </c>
      <c r="B95" s="232" t="s">
        <v>54</v>
      </c>
      <c r="C95" s="48" t="s">
        <v>495</v>
      </c>
    </row>
    <row r="96" spans="1:3" x14ac:dyDescent="0.25">
      <c r="A96" s="42"/>
      <c r="B96" s="233"/>
      <c r="C96" s="48" t="s">
        <v>497</v>
      </c>
    </row>
    <row r="97" spans="1:3" x14ac:dyDescent="0.25">
      <c r="A97" s="42"/>
      <c r="B97" s="233"/>
      <c r="C97" s="48" t="s">
        <v>496</v>
      </c>
    </row>
    <row r="98" spans="1:3" x14ac:dyDescent="0.25">
      <c r="A98" s="42"/>
      <c r="B98" s="233"/>
      <c r="C98" s="48" t="s">
        <v>614</v>
      </c>
    </row>
    <row r="99" spans="1:3" x14ac:dyDescent="0.25">
      <c r="A99" s="42"/>
      <c r="B99" s="233"/>
      <c r="C99" s="106" t="s">
        <v>835</v>
      </c>
    </row>
    <row r="100" spans="1:3" x14ac:dyDescent="0.25">
      <c r="A100" s="42"/>
      <c r="B100" s="234"/>
      <c r="C100" s="106" t="s">
        <v>836</v>
      </c>
    </row>
    <row r="101" spans="1:3" ht="16.5" x14ac:dyDescent="0.25">
      <c r="A101" s="42"/>
      <c r="C101" s="105"/>
    </row>
    <row r="102" spans="1:3" ht="30" x14ac:dyDescent="0.25">
      <c r="A102" s="42" t="s">
        <v>806</v>
      </c>
      <c r="B102" s="232" t="s">
        <v>783</v>
      </c>
      <c r="C102" s="47" t="s">
        <v>493</v>
      </c>
    </row>
    <row r="103" spans="1:3" x14ac:dyDescent="0.25">
      <c r="A103" s="42"/>
      <c r="B103" s="233"/>
      <c r="C103" s="48" t="s">
        <v>494</v>
      </c>
    </row>
    <row r="104" spans="1:3" x14ac:dyDescent="0.25">
      <c r="A104" s="42"/>
      <c r="B104" s="233"/>
      <c r="C104" s="48" t="s">
        <v>614</v>
      </c>
    </row>
    <row r="105" spans="1:3" x14ac:dyDescent="0.25">
      <c r="A105" s="42"/>
      <c r="B105" s="234"/>
      <c r="C105" s="48" t="s">
        <v>834</v>
      </c>
    </row>
    <row r="106" spans="1:3" x14ac:dyDescent="0.25">
      <c r="A106" s="42"/>
      <c r="C106" s="51" t="s">
        <v>498</v>
      </c>
    </row>
    <row r="107" spans="1:3" ht="77.25" x14ac:dyDescent="0.25">
      <c r="A107" s="42"/>
      <c r="C107" s="50" t="s">
        <v>780</v>
      </c>
    </row>
    <row r="108" spans="1:3" x14ac:dyDescent="0.25">
      <c r="A108" s="42"/>
    </row>
    <row r="109" spans="1:3" ht="45" x14ac:dyDescent="0.25">
      <c r="A109" s="42" t="s">
        <v>811</v>
      </c>
      <c r="B109" s="93" t="s">
        <v>503</v>
      </c>
      <c r="C109" s="40" t="s">
        <v>772</v>
      </c>
    </row>
    <row r="110" spans="1:3" x14ac:dyDescent="0.25">
      <c r="A110" s="42"/>
    </row>
    <row r="111" spans="1:3" x14ac:dyDescent="0.25">
      <c r="A111" s="42"/>
      <c r="C111" s="98" t="s">
        <v>760</v>
      </c>
    </row>
    <row r="112" spans="1:3" x14ac:dyDescent="0.25">
      <c r="A112" s="42"/>
      <c r="C112" s="99" t="s">
        <v>761</v>
      </c>
    </row>
    <row r="113" spans="1:3" x14ac:dyDescent="0.25">
      <c r="A113" s="42"/>
      <c r="C113" s="99" t="s">
        <v>762</v>
      </c>
    </row>
    <row r="114" spans="1:3" ht="30" x14ac:dyDescent="0.25">
      <c r="A114" s="42"/>
      <c r="C114" s="100" t="s">
        <v>763</v>
      </c>
    </row>
    <row r="115" spans="1:3" ht="30" x14ac:dyDescent="0.25">
      <c r="A115" s="42"/>
      <c r="C115" s="100" t="s">
        <v>764</v>
      </c>
    </row>
    <row r="116" spans="1:3" ht="30" x14ac:dyDescent="0.25">
      <c r="A116" s="42"/>
      <c r="C116" s="100" t="s">
        <v>765</v>
      </c>
    </row>
    <row r="117" spans="1:3" ht="30" x14ac:dyDescent="0.25">
      <c r="A117" s="42"/>
      <c r="C117" s="100" t="s">
        <v>766</v>
      </c>
    </row>
    <row r="118" spans="1:3" ht="30" x14ac:dyDescent="0.25">
      <c r="A118" s="42"/>
      <c r="C118" s="100" t="s">
        <v>767</v>
      </c>
    </row>
    <row r="119" spans="1:3" x14ac:dyDescent="0.25">
      <c r="A119" s="42"/>
      <c r="C119" s="100" t="s">
        <v>768</v>
      </c>
    </row>
    <row r="120" spans="1:3" x14ac:dyDescent="0.25">
      <c r="A120" s="42"/>
      <c r="C120" s="101" t="s">
        <v>769</v>
      </c>
    </row>
    <row r="121" spans="1:3" x14ac:dyDescent="0.25">
      <c r="A121" s="42"/>
      <c r="C121" s="25"/>
    </row>
    <row r="122" spans="1:3" ht="30" x14ac:dyDescent="0.25">
      <c r="A122" s="42"/>
      <c r="C122" s="50" t="s">
        <v>504</v>
      </c>
    </row>
    <row r="123" spans="1:3" x14ac:dyDescent="0.25">
      <c r="A123" s="42"/>
    </row>
    <row r="124" spans="1:3" x14ac:dyDescent="0.25">
      <c r="A124" s="42"/>
      <c r="C124" s="51" t="s">
        <v>498</v>
      </c>
    </row>
    <row r="125" spans="1:3" ht="90" x14ac:dyDescent="0.25">
      <c r="A125" s="42" t="s">
        <v>812</v>
      </c>
      <c r="B125" s="92" t="s">
        <v>770</v>
      </c>
      <c r="C125" s="50" t="s">
        <v>771</v>
      </c>
    </row>
    <row r="126" spans="1:3" x14ac:dyDescent="0.25">
      <c r="A126" s="42"/>
    </row>
    <row r="127" spans="1:3" ht="180" x14ac:dyDescent="0.25">
      <c r="A127" s="42" t="s">
        <v>813</v>
      </c>
      <c r="B127" s="92" t="s">
        <v>775</v>
      </c>
      <c r="C127" s="40" t="s">
        <v>784</v>
      </c>
    </row>
    <row r="128" spans="1:3" x14ac:dyDescent="0.25">
      <c r="A128" s="42"/>
    </row>
    <row r="129" spans="1:3" ht="90" x14ac:dyDescent="0.25">
      <c r="A129" s="42" t="s">
        <v>814</v>
      </c>
      <c r="B129" s="93" t="s">
        <v>774</v>
      </c>
      <c r="C129" s="40" t="s">
        <v>776</v>
      </c>
    </row>
    <row r="130" spans="1:3" x14ac:dyDescent="0.25">
      <c r="A130" s="42"/>
    </row>
    <row r="131" spans="1:3" ht="45" x14ac:dyDescent="0.25">
      <c r="A131" s="42" t="s">
        <v>815</v>
      </c>
      <c r="B131" s="102" t="s">
        <v>777</v>
      </c>
      <c r="C131" s="40" t="s">
        <v>778</v>
      </c>
    </row>
    <row r="132" spans="1:3" x14ac:dyDescent="0.25">
      <c r="A132" s="42"/>
    </row>
    <row r="133" spans="1:3" ht="30" x14ac:dyDescent="0.25">
      <c r="A133" s="42" t="s">
        <v>825</v>
      </c>
      <c r="B133" s="87" t="s">
        <v>785</v>
      </c>
      <c r="C133" s="40" t="s">
        <v>781</v>
      </c>
    </row>
    <row r="134" spans="1:3" x14ac:dyDescent="0.25">
      <c r="A134" s="42"/>
      <c r="C134" s="25"/>
    </row>
    <row r="135" spans="1:3" x14ac:dyDescent="0.25">
      <c r="A135" s="42"/>
      <c r="C135" s="25"/>
    </row>
    <row r="136" spans="1:3" x14ac:dyDescent="0.25">
      <c r="A136" s="42"/>
      <c r="C136" s="25"/>
    </row>
    <row r="137" spans="1:3" x14ac:dyDescent="0.25">
      <c r="A137" s="42"/>
    </row>
    <row r="138" spans="1:3" x14ac:dyDescent="0.25">
      <c r="A138" s="42"/>
    </row>
    <row r="139" spans="1:3" x14ac:dyDescent="0.25">
      <c r="A139" s="42"/>
    </row>
    <row r="140" spans="1:3" x14ac:dyDescent="0.25">
      <c r="A140" s="42"/>
    </row>
    <row r="141" spans="1:3" x14ac:dyDescent="0.25">
      <c r="A141" s="42"/>
    </row>
    <row r="142" spans="1:3" x14ac:dyDescent="0.25">
      <c r="A142" s="42"/>
    </row>
    <row r="143" spans="1:3" x14ac:dyDescent="0.25">
      <c r="A143" s="42"/>
    </row>
    <row r="144" spans="1:3" x14ac:dyDescent="0.25">
      <c r="A144" s="42"/>
    </row>
    <row r="145" spans="1:3" x14ac:dyDescent="0.25">
      <c r="A145" s="42"/>
    </row>
    <row r="146" spans="1:3" x14ac:dyDescent="0.25">
      <c r="A146" s="42"/>
    </row>
    <row r="147" spans="1:3" x14ac:dyDescent="0.25">
      <c r="A147" s="42"/>
    </row>
    <row r="148" spans="1:3" x14ac:dyDescent="0.25">
      <c r="A148" s="42"/>
    </row>
    <row r="149" spans="1:3" ht="30" x14ac:dyDescent="0.25">
      <c r="A149" s="42" t="s">
        <v>826</v>
      </c>
      <c r="B149" s="87" t="s">
        <v>787</v>
      </c>
      <c r="C149" s="40" t="s">
        <v>786</v>
      </c>
    </row>
    <row r="150" spans="1:3" x14ac:dyDescent="0.25">
      <c r="A150" s="42"/>
    </row>
    <row r="151" spans="1:3" x14ac:dyDescent="0.25">
      <c r="A151" s="42"/>
    </row>
    <row r="152" spans="1:3" x14ac:dyDescent="0.25">
      <c r="A152" s="42"/>
    </row>
    <row r="153" spans="1:3" x14ac:dyDescent="0.25">
      <c r="A153" s="42"/>
    </row>
    <row r="154" spans="1:3" x14ac:dyDescent="0.25">
      <c r="A154" s="42"/>
    </row>
    <row r="155" spans="1:3" x14ac:dyDescent="0.25">
      <c r="A155" s="42"/>
    </row>
    <row r="156" spans="1:3" x14ac:dyDescent="0.25">
      <c r="A156" s="42"/>
    </row>
    <row r="157" spans="1:3" x14ac:dyDescent="0.25">
      <c r="A157" s="42"/>
    </row>
    <row r="158" spans="1:3" x14ac:dyDescent="0.25">
      <c r="A158" s="42"/>
    </row>
    <row r="159" spans="1:3" x14ac:dyDescent="0.25">
      <c r="A159" s="42"/>
    </row>
    <row r="160" spans="1:3" x14ac:dyDescent="0.25">
      <c r="A160" s="42"/>
    </row>
    <row r="161" spans="1:3" x14ac:dyDescent="0.25">
      <c r="A161" s="42"/>
    </row>
    <row r="162" spans="1:3" x14ac:dyDescent="0.25">
      <c r="A162" s="42"/>
    </row>
    <row r="163" spans="1:3" x14ac:dyDescent="0.25">
      <c r="A163" s="42"/>
    </row>
    <row r="164" spans="1:3" x14ac:dyDescent="0.25">
      <c r="A164" s="42"/>
    </row>
    <row r="165" spans="1:3" ht="30" x14ac:dyDescent="0.25">
      <c r="A165" s="42" t="s">
        <v>827</v>
      </c>
      <c r="B165" s="87" t="s">
        <v>670</v>
      </c>
      <c r="C165" s="40" t="s">
        <v>782</v>
      </c>
    </row>
    <row r="166" spans="1:3" x14ac:dyDescent="0.25">
      <c r="A166" s="42"/>
    </row>
    <row r="167" spans="1:3" x14ac:dyDescent="0.25">
      <c r="A167" s="42"/>
    </row>
    <row r="168" spans="1:3" x14ac:dyDescent="0.25">
      <c r="A168" s="42"/>
    </row>
    <row r="169" spans="1:3" x14ac:dyDescent="0.25">
      <c r="A169" s="42"/>
    </row>
    <row r="170" spans="1:3" x14ac:dyDescent="0.25">
      <c r="A170" s="42"/>
    </row>
    <row r="171" spans="1:3" x14ac:dyDescent="0.25">
      <c r="A171" s="42"/>
    </row>
    <row r="172" spans="1:3" x14ac:dyDescent="0.25">
      <c r="A172" s="42"/>
    </row>
    <row r="173" spans="1:3" x14ac:dyDescent="0.25">
      <c r="A173" s="42"/>
    </row>
    <row r="174" spans="1:3" x14ac:dyDescent="0.25">
      <c r="A174" s="42"/>
    </row>
    <row r="175" spans="1:3" x14ac:dyDescent="0.25">
      <c r="A175" s="42"/>
    </row>
    <row r="176" spans="1:3" x14ac:dyDescent="0.25">
      <c r="A176" s="42"/>
    </row>
    <row r="177" spans="1:3" x14ac:dyDescent="0.25">
      <c r="A177" s="42"/>
    </row>
    <row r="178" spans="1:3" x14ac:dyDescent="0.25">
      <c r="A178" s="42"/>
    </row>
    <row r="179" spans="1:3" x14ac:dyDescent="0.25">
      <c r="A179" s="42"/>
    </row>
    <row r="180" spans="1:3" x14ac:dyDescent="0.25">
      <c r="A180" s="42"/>
    </row>
    <row r="181" spans="1:3" x14ac:dyDescent="0.25">
      <c r="A181" s="42"/>
    </row>
    <row r="182" spans="1:3" x14ac:dyDescent="0.25">
      <c r="A182" s="42"/>
    </row>
    <row r="183" spans="1:3" x14ac:dyDescent="0.25">
      <c r="A183" s="42"/>
    </row>
    <row r="184" spans="1:3" x14ac:dyDescent="0.25">
      <c r="A184" s="42" t="s">
        <v>828</v>
      </c>
      <c r="B184" s="103" t="s">
        <v>788</v>
      </c>
      <c r="C184" s="40" t="s">
        <v>779</v>
      </c>
    </row>
  </sheetData>
  <sheetProtection algorithmName="SHA-512" hashValue="yBesIiLN254Q+eEaPBljtT9jsdRsNTNhcAsR4X5UqATjcstamINE60/T96GALfJFtH1bAXZogZPdeGqWySUzFw==" saltValue="+4hSziHTDe9aRKZR40bO9A==" spinCount="100000" sheet="1"/>
  <mergeCells count="3">
    <mergeCell ref="B91:B92"/>
    <mergeCell ref="B102:B105"/>
    <mergeCell ref="B95:B100"/>
  </mergeCells>
  <hyperlinks>
    <hyperlink ref="C91" r:id="rId1"/>
    <hyperlink ref="C92" r:id="rId2"/>
    <hyperlink ref="C89" r:id="rId3" location="!/profiles/3"/>
    <hyperlink ref="C93" r:id="rId4"/>
    <hyperlink ref="C90" r:id="rId5"/>
    <hyperlink ref="C102" r:id="rId6"/>
    <hyperlink ref="C103" r:id="rId7"/>
    <hyperlink ref="C95" r:id="rId8"/>
    <hyperlink ref="C97" r:id="rId9"/>
    <hyperlink ref="C96" r:id="rId10"/>
    <hyperlink ref="C98" r:id="rId11"/>
    <hyperlink ref="C104" r:id="rId12"/>
    <hyperlink ref="C105" r:id="rId13" display="https://www.taringa.net/+info/departamentos-de-colombia-por-pib-per-capita_hdxg8"/>
    <hyperlink ref="C99" r:id="rId14"/>
    <hyperlink ref="C100" r:id="rId15"/>
  </hyperlinks>
  <pageMargins left="0.70866141732283472" right="0.70866141732283472" top="0.74803149606299213" bottom="0.74803149606299213" header="0.31496062992125984" footer="0.31496062992125984"/>
  <pageSetup scale="50" fitToHeight="6" orientation="portrait" r:id="rId16"/>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E99"/>
  <sheetViews>
    <sheetView showGridLines="0" topLeftCell="A31" zoomScale="70" zoomScaleNormal="70" workbookViewId="0">
      <selection activeCell="E42" sqref="E42"/>
    </sheetView>
  </sheetViews>
  <sheetFormatPr baseColWidth="10" defaultRowHeight="15" x14ac:dyDescent="0.25"/>
  <cols>
    <col min="2" max="2" width="30.140625" customWidth="1"/>
    <col min="3" max="3" width="26.140625" customWidth="1"/>
    <col min="4" max="4" width="16.140625" customWidth="1"/>
    <col min="5" max="5" width="24.140625" customWidth="1"/>
  </cols>
  <sheetData>
    <row r="5" spans="2:5" ht="18.75" x14ac:dyDescent="0.3">
      <c r="B5" s="263" t="s">
        <v>759</v>
      </c>
      <c r="C5" s="263"/>
      <c r="D5" s="263"/>
      <c r="E5" s="263"/>
    </row>
    <row r="7" spans="2:5" x14ac:dyDescent="0.25">
      <c r="B7" s="84" t="s">
        <v>36</v>
      </c>
      <c r="C7" s="84" t="s">
        <v>670</v>
      </c>
      <c r="D7" s="84" t="s">
        <v>37</v>
      </c>
      <c r="E7" s="84" t="s">
        <v>730</v>
      </c>
    </row>
    <row r="8" spans="2:5" ht="38.25" x14ac:dyDescent="0.25">
      <c r="B8" s="80" t="s">
        <v>658</v>
      </c>
      <c r="C8" s="80" t="s">
        <v>666</v>
      </c>
      <c r="D8" s="80" t="s">
        <v>563</v>
      </c>
      <c r="E8" s="80" t="s">
        <v>731</v>
      </c>
    </row>
    <row r="9" spans="2:5" ht="38.25" x14ac:dyDescent="0.25">
      <c r="B9" s="80" t="s">
        <v>659</v>
      </c>
      <c r="C9" s="80" t="s">
        <v>666</v>
      </c>
      <c r="D9" s="80" t="s">
        <v>563</v>
      </c>
      <c r="E9" s="80" t="s">
        <v>731</v>
      </c>
    </row>
    <row r="10" spans="2:5" ht="38.25" x14ac:dyDescent="0.25">
      <c r="B10" s="80" t="s">
        <v>660</v>
      </c>
      <c r="C10" s="80" t="s">
        <v>837</v>
      </c>
      <c r="D10" s="80" t="s">
        <v>563</v>
      </c>
      <c r="E10" s="80" t="s">
        <v>731</v>
      </c>
    </row>
    <row r="11" spans="2:5" ht="25.5" x14ac:dyDescent="0.25">
      <c r="B11" s="80" t="s">
        <v>661</v>
      </c>
      <c r="C11" s="80" t="s">
        <v>667</v>
      </c>
      <c r="D11" s="80" t="s">
        <v>563</v>
      </c>
      <c r="E11" s="80" t="s">
        <v>732</v>
      </c>
    </row>
    <row r="12" spans="2:5" ht="51" x14ac:dyDescent="0.25">
      <c r="B12" s="80" t="s">
        <v>662</v>
      </c>
      <c r="C12" s="80" t="s">
        <v>668</v>
      </c>
      <c r="D12" s="80" t="s">
        <v>563</v>
      </c>
      <c r="E12" s="80" t="s">
        <v>732</v>
      </c>
    </row>
    <row r="13" spans="2:5" ht="38.25" x14ac:dyDescent="0.25">
      <c r="B13" s="80" t="s">
        <v>663</v>
      </c>
      <c r="C13" s="80" t="s">
        <v>675</v>
      </c>
      <c r="D13" s="80" t="s">
        <v>563</v>
      </c>
      <c r="E13" s="80" t="s">
        <v>733</v>
      </c>
    </row>
    <row r="14" spans="2:5" ht="25.5" x14ac:dyDescent="0.25">
      <c r="B14" s="80" t="s">
        <v>664</v>
      </c>
      <c r="C14" s="80" t="s">
        <v>669</v>
      </c>
      <c r="D14" s="80" t="s">
        <v>563</v>
      </c>
      <c r="E14" s="80" t="s">
        <v>732</v>
      </c>
    </row>
    <row r="15" spans="2:5" ht="25.5" x14ac:dyDescent="0.25">
      <c r="B15" s="80" t="s">
        <v>665</v>
      </c>
      <c r="C15" s="80" t="s">
        <v>669</v>
      </c>
      <c r="D15" s="80" t="s">
        <v>563</v>
      </c>
      <c r="E15" s="80" t="s">
        <v>734</v>
      </c>
    </row>
    <row r="16" spans="2:5" x14ac:dyDescent="0.25">
      <c r="D16" s="80"/>
    </row>
    <row r="17" spans="2:5" ht="38.25" x14ac:dyDescent="0.25">
      <c r="B17" s="80" t="s">
        <v>671</v>
      </c>
      <c r="C17" s="80" t="s">
        <v>674</v>
      </c>
      <c r="D17" s="80" t="s">
        <v>563</v>
      </c>
      <c r="E17" s="80" t="s">
        <v>735</v>
      </c>
    </row>
    <row r="18" spans="2:5" ht="51" x14ac:dyDescent="0.25">
      <c r="B18" s="80" t="s">
        <v>672</v>
      </c>
      <c r="C18" s="80" t="s">
        <v>674</v>
      </c>
      <c r="D18" s="80" t="s">
        <v>563</v>
      </c>
      <c r="E18" s="80" t="s">
        <v>736</v>
      </c>
    </row>
    <row r="19" spans="2:5" ht="38.25" x14ac:dyDescent="0.25">
      <c r="B19" s="80" t="s">
        <v>673</v>
      </c>
      <c r="C19" s="80" t="s">
        <v>668</v>
      </c>
      <c r="D19" s="80" t="s">
        <v>676</v>
      </c>
      <c r="E19" s="80" t="s">
        <v>737</v>
      </c>
    </row>
    <row r="21" spans="2:5" ht="51" x14ac:dyDescent="0.25">
      <c r="B21" s="82" t="s">
        <v>687</v>
      </c>
      <c r="C21" s="81" t="s">
        <v>688</v>
      </c>
      <c r="D21" s="80" t="s">
        <v>563</v>
      </c>
      <c r="E21" s="80" t="s">
        <v>738</v>
      </c>
    </row>
    <row r="22" spans="2:5" ht="51" x14ac:dyDescent="0.25">
      <c r="B22" s="82" t="s">
        <v>677</v>
      </c>
      <c r="C22" s="82" t="s">
        <v>683</v>
      </c>
      <c r="D22" s="80" t="s">
        <v>563</v>
      </c>
      <c r="E22" s="80" t="s">
        <v>739</v>
      </c>
    </row>
    <row r="23" spans="2:5" ht="51" x14ac:dyDescent="0.25">
      <c r="B23" s="82" t="s">
        <v>678</v>
      </c>
      <c r="C23" s="82" t="s">
        <v>683</v>
      </c>
      <c r="D23" s="80" t="s">
        <v>563</v>
      </c>
      <c r="E23" s="80" t="s">
        <v>739</v>
      </c>
    </row>
    <row r="24" spans="2:5" ht="25.5" x14ac:dyDescent="0.25">
      <c r="B24" s="82" t="s">
        <v>679</v>
      </c>
      <c r="C24" s="82" t="s">
        <v>674</v>
      </c>
      <c r="D24" s="80" t="s">
        <v>563</v>
      </c>
      <c r="E24" s="80" t="s">
        <v>739</v>
      </c>
    </row>
    <row r="25" spans="2:5" ht="38.25" x14ac:dyDescent="0.25">
      <c r="B25" s="82" t="s">
        <v>680</v>
      </c>
      <c r="C25" s="82" t="s">
        <v>674</v>
      </c>
      <c r="D25" s="80" t="s">
        <v>563</v>
      </c>
      <c r="E25" s="80" t="s">
        <v>739</v>
      </c>
    </row>
    <row r="26" spans="2:5" ht="25.5" x14ac:dyDescent="0.25">
      <c r="B26" s="82" t="s">
        <v>681</v>
      </c>
      <c r="C26" s="82" t="s">
        <v>669</v>
      </c>
      <c r="D26" s="80" t="s">
        <v>563</v>
      </c>
      <c r="E26" s="80" t="s">
        <v>739</v>
      </c>
    </row>
    <row r="27" spans="2:5" ht="63.75" x14ac:dyDescent="0.25">
      <c r="B27" s="82" t="s">
        <v>682</v>
      </c>
      <c r="C27" s="82" t="s">
        <v>674</v>
      </c>
      <c r="D27" s="80" t="s">
        <v>563</v>
      </c>
      <c r="E27" s="80" t="s">
        <v>740</v>
      </c>
    </row>
    <row r="28" spans="2:5" ht="38.25" x14ac:dyDescent="0.25">
      <c r="B28" s="82" t="s">
        <v>689</v>
      </c>
      <c r="C28" s="82" t="s">
        <v>669</v>
      </c>
      <c r="D28" s="80" t="s">
        <v>563</v>
      </c>
      <c r="E28" s="80" t="s">
        <v>739</v>
      </c>
    </row>
    <row r="29" spans="2:5" ht="51" x14ac:dyDescent="0.25">
      <c r="B29" s="82" t="s">
        <v>690</v>
      </c>
      <c r="C29" s="82" t="s">
        <v>691</v>
      </c>
      <c r="D29" s="80" t="s">
        <v>676</v>
      </c>
      <c r="E29" s="80" t="s">
        <v>739</v>
      </c>
    </row>
    <row r="30" spans="2:5" ht="51" x14ac:dyDescent="0.25">
      <c r="B30" s="82" t="s">
        <v>686</v>
      </c>
      <c r="C30" s="82" t="s">
        <v>674</v>
      </c>
      <c r="D30" s="80" t="s">
        <v>563</v>
      </c>
      <c r="E30" s="80" t="s">
        <v>741</v>
      </c>
    </row>
    <row r="31" spans="2:5" ht="38.25" x14ac:dyDescent="0.25">
      <c r="B31" s="80" t="s">
        <v>684</v>
      </c>
      <c r="C31" s="81" t="s">
        <v>668</v>
      </c>
      <c r="D31" s="80" t="s">
        <v>676</v>
      </c>
      <c r="E31" s="80" t="s">
        <v>742</v>
      </c>
    </row>
    <row r="32" spans="2:5" ht="25.5" x14ac:dyDescent="0.25">
      <c r="B32" s="80" t="s">
        <v>685</v>
      </c>
      <c r="C32" s="81" t="s">
        <v>668</v>
      </c>
      <c r="D32" s="80" t="s">
        <v>676</v>
      </c>
      <c r="E32" s="80" t="s">
        <v>743</v>
      </c>
    </row>
    <row r="34" spans="2:5" ht="25.5" x14ac:dyDescent="0.25">
      <c r="B34" s="80" t="s">
        <v>692</v>
      </c>
      <c r="C34" s="81" t="s">
        <v>675</v>
      </c>
      <c r="D34" s="80" t="s">
        <v>563</v>
      </c>
      <c r="E34" s="80" t="s">
        <v>744</v>
      </c>
    </row>
    <row r="35" spans="2:5" ht="25.5" x14ac:dyDescent="0.25">
      <c r="B35" s="80" t="s">
        <v>693</v>
      </c>
      <c r="C35" s="81" t="s">
        <v>668</v>
      </c>
      <c r="D35" s="80" t="s">
        <v>563</v>
      </c>
      <c r="E35" s="80" t="s">
        <v>744</v>
      </c>
    </row>
    <row r="37" spans="2:5" ht="25.5" x14ac:dyDescent="0.25">
      <c r="B37" s="80" t="s">
        <v>694</v>
      </c>
      <c r="C37" s="81" t="s">
        <v>668</v>
      </c>
      <c r="D37" s="80" t="s">
        <v>563</v>
      </c>
      <c r="E37" s="80" t="s">
        <v>745</v>
      </c>
    </row>
    <row r="38" spans="2:5" x14ac:dyDescent="0.25">
      <c r="E38" s="80"/>
    </row>
    <row r="39" spans="2:5" ht="51" x14ac:dyDescent="0.25">
      <c r="B39" s="80" t="s">
        <v>695</v>
      </c>
      <c r="C39" s="81" t="s">
        <v>675</v>
      </c>
      <c r="D39" s="80" t="s">
        <v>563</v>
      </c>
      <c r="E39" s="80" t="s">
        <v>746</v>
      </c>
    </row>
    <row r="40" spans="2:5" ht="51" x14ac:dyDescent="0.25">
      <c r="B40" s="80" t="s">
        <v>696</v>
      </c>
      <c r="C40" s="81" t="s">
        <v>675</v>
      </c>
      <c r="D40" s="80" t="s">
        <v>563</v>
      </c>
      <c r="E40" s="80" t="s">
        <v>746</v>
      </c>
    </row>
    <row r="41" spans="2:5" ht="51" x14ac:dyDescent="0.25">
      <c r="B41" s="80" t="s">
        <v>697</v>
      </c>
      <c r="C41" s="81" t="s">
        <v>668</v>
      </c>
      <c r="D41" s="80" t="s">
        <v>563</v>
      </c>
      <c r="E41" s="80" t="s">
        <v>746</v>
      </c>
    </row>
    <row r="43" spans="2:5" ht="38.25" x14ac:dyDescent="0.25">
      <c r="B43" s="82" t="s">
        <v>698</v>
      </c>
      <c r="C43" s="81" t="s">
        <v>675</v>
      </c>
      <c r="D43" s="80" t="s">
        <v>563</v>
      </c>
      <c r="E43" s="80" t="s">
        <v>747</v>
      </c>
    </row>
    <row r="44" spans="2:5" ht="25.5" x14ac:dyDescent="0.25">
      <c r="B44" s="82" t="s">
        <v>700</v>
      </c>
      <c r="C44" s="81" t="s">
        <v>668</v>
      </c>
      <c r="D44" s="80" t="s">
        <v>701</v>
      </c>
      <c r="E44" s="80" t="s">
        <v>747</v>
      </c>
    </row>
    <row r="45" spans="2:5" ht="38.25" x14ac:dyDescent="0.25">
      <c r="B45" s="82" t="s">
        <v>699</v>
      </c>
      <c r="C45" s="81" t="s">
        <v>669</v>
      </c>
      <c r="D45" s="80" t="s">
        <v>563</v>
      </c>
      <c r="E45" s="80" t="s">
        <v>747</v>
      </c>
    </row>
    <row r="47" spans="2:5" ht="63.75" x14ac:dyDescent="0.25">
      <c r="B47" s="81" t="s">
        <v>702</v>
      </c>
      <c r="C47" s="81" t="s">
        <v>668</v>
      </c>
      <c r="D47" s="80" t="s">
        <v>563</v>
      </c>
      <c r="E47" s="80" t="s">
        <v>746</v>
      </c>
    </row>
    <row r="48" spans="2:5" ht="63.75" x14ac:dyDescent="0.25">
      <c r="B48" s="81" t="s">
        <v>703</v>
      </c>
      <c r="C48" s="81" t="s">
        <v>668</v>
      </c>
      <c r="D48" s="80" t="s">
        <v>563</v>
      </c>
      <c r="E48" s="80" t="s">
        <v>746</v>
      </c>
    </row>
    <row r="49" spans="2:5" ht="51" x14ac:dyDescent="0.25">
      <c r="B49" s="81" t="s">
        <v>704</v>
      </c>
      <c r="C49" s="81" t="s">
        <v>668</v>
      </c>
      <c r="D49" s="80" t="s">
        <v>563</v>
      </c>
      <c r="E49" s="80" t="s">
        <v>746</v>
      </c>
    </row>
    <row r="50" spans="2:5" ht="51" x14ac:dyDescent="0.25">
      <c r="B50" s="81" t="s">
        <v>705</v>
      </c>
      <c r="C50" s="81" t="s">
        <v>668</v>
      </c>
      <c r="D50" s="80" t="s">
        <v>563</v>
      </c>
      <c r="E50" s="80" t="s">
        <v>746</v>
      </c>
    </row>
    <row r="51" spans="2:5" ht="51" x14ac:dyDescent="0.25">
      <c r="B51" s="80" t="s">
        <v>706</v>
      </c>
      <c r="C51" s="81" t="s">
        <v>668</v>
      </c>
      <c r="D51" s="80" t="s">
        <v>676</v>
      </c>
      <c r="E51" s="80" t="s">
        <v>746</v>
      </c>
    </row>
    <row r="52" spans="2:5" ht="51" x14ac:dyDescent="0.25">
      <c r="B52" s="80" t="s">
        <v>707</v>
      </c>
      <c r="C52" s="81" t="s">
        <v>712</v>
      </c>
      <c r="D52" s="80" t="s">
        <v>563</v>
      </c>
      <c r="E52" s="80" t="s">
        <v>746</v>
      </c>
    </row>
    <row r="53" spans="2:5" ht="51" x14ac:dyDescent="0.25">
      <c r="B53" s="81" t="s">
        <v>708</v>
      </c>
      <c r="C53" s="81" t="s">
        <v>668</v>
      </c>
      <c r="D53" s="80" t="s">
        <v>563</v>
      </c>
      <c r="E53" s="80" t="s">
        <v>746</v>
      </c>
    </row>
    <row r="54" spans="2:5" ht="51" x14ac:dyDescent="0.25">
      <c r="B54" s="81" t="s">
        <v>710</v>
      </c>
      <c r="C54" s="81" t="s">
        <v>669</v>
      </c>
      <c r="D54" s="80" t="s">
        <v>563</v>
      </c>
      <c r="E54" s="80" t="s">
        <v>748</v>
      </c>
    </row>
    <row r="55" spans="2:5" ht="38.25" x14ac:dyDescent="0.25">
      <c r="B55" s="81" t="s">
        <v>711</v>
      </c>
      <c r="C55" s="81" t="s">
        <v>668</v>
      </c>
      <c r="D55" s="80" t="s">
        <v>676</v>
      </c>
      <c r="E55" s="80" t="s">
        <v>749</v>
      </c>
    </row>
    <row r="56" spans="2:5" ht="51" x14ac:dyDescent="0.25">
      <c r="B56" s="81" t="s">
        <v>709</v>
      </c>
      <c r="C56" s="81" t="s">
        <v>669</v>
      </c>
      <c r="D56" s="80" t="s">
        <v>563</v>
      </c>
      <c r="E56" s="80" t="s">
        <v>750</v>
      </c>
    </row>
    <row r="58" spans="2:5" ht="38.25" x14ac:dyDescent="0.25">
      <c r="B58" s="80" t="s">
        <v>713</v>
      </c>
      <c r="C58" s="81" t="s">
        <v>716</v>
      </c>
      <c r="D58" s="80" t="s">
        <v>563</v>
      </c>
      <c r="E58" s="80" t="s">
        <v>751</v>
      </c>
    </row>
    <row r="59" spans="2:5" ht="25.5" x14ac:dyDescent="0.25">
      <c r="B59" s="80" t="s">
        <v>714</v>
      </c>
      <c r="C59" s="81" t="s">
        <v>716</v>
      </c>
      <c r="D59" s="80" t="s">
        <v>563</v>
      </c>
      <c r="E59" s="80" t="s">
        <v>751</v>
      </c>
    </row>
    <row r="60" spans="2:5" ht="38.25" x14ac:dyDescent="0.25">
      <c r="B60" s="80" t="s">
        <v>715</v>
      </c>
      <c r="C60" s="81" t="s">
        <v>717</v>
      </c>
      <c r="D60" s="80" t="s">
        <v>563</v>
      </c>
      <c r="E60" s="80" t="s">
        <v>751</v>
      </c>
    </row>
    <row r="61" spans="2:5" ht="38.25" x14ac:dyDescent="0.25">
      <c r="B61" s="80" t="s">
        <v>718</v>
      </c>
      <c r="C61" s="81" t="s">
        <v>717</v>
      </c>
      <c r="D61" s="80" t="s">
        <v>563</v>
      </c>
      <c r="E61" s="80" t="s">
        <v>751</v>
      </c>
    </row>
    <row r="62" spans="2:5" ht="38.25" x14ac:dyDescent="0.25">
      <c r="B62" s="80" t="s">
        <v>752</v>
      </c>
      <c r="C62" s="81" t="s">
        <v>669</v>
      </c>
      <c r="D62" s="80" t="s">
        <v>563</v>
      </c>
      <c r="E62" s="80" t="s">
        <v>751</v>
      </c>
    </row>
    <row r="64" spans="2:5" ht="63.75" x14ac:dyDescent="0.25">
      <c r="B64" s="80" t="s">
        <v>719</v>
      </c>
      <c r="C64" s="81" t="s">
        <v>668</v>
      </c>
      <c r="D64" s="80" t="s">
        <v>563</v>
      </c>
      <c r="E64" s="80" t="s">
        <v>753</v>
      </c>
    </row>
    <row r="65" spans="2:5" ht="51" x14ac:dyDescent="0.25">
      <c r="B65" s="80" t="s">
        <v>720</v>
      </c>
      <c r="C65" s="81" t="s">
        <v>668</v>
      </c>
      <c r="D65" s="80" t="s">
        <v>563</v>
      </c>
      <c r="E65" s="80" t="s">
        <v>753</v>
      </c>
    </row>
    <row r="66" spans="2:5" ht="51" x14ac:dyDescent="0.25">
      <c r="B66" s="80" t="s">
        <v>721</v>
      </c>
      <c r="C66" s="81" t="s">
        <v>669</v>
      </c>
      <c r="D66" s="80" t="s">
        <v>563</v>
      </c>
      <c r="E66" s="80" t="s">
        <v>753</v>
      </c>
    </row>
    <row r="68" spans="2:5" ht="25.5" x14ac:dyDescent="0.25">
      <c r="B68" s="80" t="s">
        <v>722</v>
      </c>
      <c r="C68" s="81" t="s">
        <v>675</v>
      </c>
      <c r="D68" s="80" t="s">
        <v>563</v>
      </c>
      <c r="E68" s="80" t="s">
        <v>754</v>
      </c>
    </row>
    <row r="69" spans="2:5" x14ac:dyDescent="0.25">
      <c r="E69" s="80"/>
    </row>
    <row r="70" spans="2:5" ht="25.5" x14ac:dyDescent="0.25">
      <c r="B70" s="83" t="s">
        <v>723</v>
      </c>
      <c r="C70" s="81" t="s">
        <v>675</v>
      </c>
      <c r="D70" s="80" t="s">
        <v>563</v>
      </c>
      <c r="E70" s="80" t="s">
        <v>755</v>
      </c>
    </row>
    <row r="71" spans="2:5" x14ac:dyDescent="0.25">
      <c r="B71" s="83" t="s">
        <v>724</v>
      </c>
      <c r="C71" s="81" t="s">
        <v>712</v>
      </c>
      <c r="D71" s="80" t="s">
        <v>563</v>
      </c>
      <c r="E71" s="80" t="s">
        <v>755</v>
      </c>
    </row>
    <row r="72" spans="2:5" ht="25.5" x14ac:dyDescent="0.25">
      <c r="B72" s="83" t="s">
        <v>725</v>
      </c>
      <c r="C72" s="81" t="s">
        <v>712</v>
      </c>
      <c r="D72" s="80" t="s">
        <v>563</v>
      </c>
      <c r="E72" s="80" t="s">
        <v>755</v>
      </c>
    </row>
    <row r="73" spans="2:5" ht="25.5" x14ac:dyDescent="0.25">
      <c r="B73" s="83" t="s">
        <v>726</v>
      </c>
      <c r="C73" s="81" t="s">
        <v>712</v>
      </c>
      <c r="D73" s="80" t="s">
        <v>563</v>
      </c>
      <c r="E73" s="80" t="s">
        <v>755</v>
      </c>
    </row>
    <row r="75" spans="2:5" ht="63.75" x14ac:dyDescent="0.25">
      <c r="B75" s="80" t="s">
        <v>727</v>
      </c>
      <c r="C75" s="81" t="s">
        <v>712</v>
      </c>
      <c r="D75" s="80" t="s">
        <v>563</v>
      </c>
      <c r="E75" s="80" t="s">
        <v>756</v>
      </c>
    </row>
    <row r="77" spans="2:5" ht="38.25" x14ac:dyDescent="0.25">
      <c r="B77" s="80" t="s">
        <v>728</v>
      </c>
      <c r="C77" s="81" t="s">
        <v>712</v>
      </c>
      <c r="D77" s="80" t="s">
        <v>563</v>
      </c>
      <c r="E77" s="80" t="s">
        <v>757</v>
      </c>
    </row>
    <row r="78" spans="2:5" ht="38.25" x14ac:dyDescent="0.25">
      <c r="B78" s="80" t="s">
        <v>729</v>
      </c>
      <c r="C78" s="81" t="s">
        <v>712</v>
      </c>
      <c r="D78" s="80" t="s">
        <v>563</v>
      </c>
      <c r="E78" s="80" t="s">
        <v>757</v>
      </c>
    </row>
    <row r="80" spans="2:5" ht="76.5" x14ac:dyDescent="0.25">
      <c r="B80" s="133" t="s">
        <v>838</v>
      </c>
      <c r="C80" s="80" t="s">
        <v>674</v>
      </c>
      <c r="D80" s="130" t="s">
        <v>563</v>
      </c>
      <c r="E80" s="131" t="s">
        <v>839</v>
      </c>
    </row>
    <row r="81" spans="2:5" ht="63.75" x14ac:dyDescent="0.25">
      <c r="B81" s="131" t="s">
        <v>856</v>
      </c>
      <c r="C81" s="132" t="s">
        <v>674</v>
      </c>
      <c r="D81" s="130" t="s">
        <v>563</v>
      </c>
      <c r="E81" s="131" t="s">
        <v>840</v>
      </c>
    </row>
    <row r="82" spans="2:5" ht="38.25" x14ac:dyDescent="0.25">
      <c r="B82" s="227" t="s">
        <v>841</v>
      </c>
      <c r="C82" s="228" t="s">
        <v>712</v>
      </c>
      <c r="D82" s="229" t="s">
        <v>563</v>
      </c>
      <c r="E82" s="227" t="s">
        <v>842</v>
      </c>
    </row>
    <row r="83" spans="2:5" ht="76.5" x14ac:dyDescent="0.25">
      <c r="B83" s="227" t="s">
        <v>857</v>
      </c>
      <c r="C83" s="230" t="s">
        <v>674</v>
      </c>
      <c r="D83" s="229" t="s">
        <v>563</v>
      </c>
      <c r="E83" s="227" t="s">
        <v>674</v>
      </c>
    </row>
    <row r="84" spans="2:5" ht="51" x14ac:dyDescent="0.25">
      <c r="B84" s="131" t="s">
        <v>858</v>
      </c>
      <c r="C84" s="131" t="s">
        <v>674</v>
      </c>
      <c r="D84" s="131" t="s">
        <v>563</v>
      </c>
      <c r="E84" s="40" t="s">
        <v>674</v>
      </c>
    </row>
    <row r="85" spans="2:5" x14ac:dyDescent="0.25">
      <c r="B85" s="221"/>
      <c r="C85" s="222"/>
      <c r="D85" s="221"/>
      <c r="E85" s="221"/>
    </row>
    <row r="86" spans="2:5" ht="31.5" customHeight="1" x14ac:dyDescent="0.25">
      <c r="B86" s="264" t="s">
        <v>845</v>
      </c>
      <c r="C86" s="264"/>
      <c r="D86" s="264"/>
      <c r="E86" s="264"/>
    </row>
    <row r="87" spans="2:5" ht="36.75" customHeight="1" x14ac:dyDescent="0.25">
      <c r="B87" s="129"/>
      <c r="C87" s="129"/>
      <c r="D87" s="129"/>
      <c r="E87" s="129"/>
    </row>
    <row r="88" spans="2:5" ht="36.75" customHeight="1" x14ac:dyDescent="0.25">
      <c r="B88" s="129"/>
      <c r="C88" s="129"/>
      <c r="D88" s="129"/>
      <c r="E88" s="129"/>
    </row>
    <row r="89" spans="2:5" ht="36.75" customHeight="1" x14ac:dyDescent="0.25">
      <c r="B89" s="129"/>
      <c r="C89" s="129"/>
      <c r="D89" s="129"/>
      <c r="E89" s="129"/>
    </row>
    <row r="90" spans="2:5" ht="36.75" customHeight="1" x14ac:dyDescent="0.25">
      <c r="B90" s="129"/>
      <c r="C90" s="129"/>
      <c r="D90" s="129"/>
      <c r="E90" s="129"/>
    </row>
    <row r="91" spans="2:5" ht="36.75" customHeight="1" x14ac:dyDescent="0.25">
      <c r="B91" s="129"/>
      <c r="C91" s="129"/>
      <c r="D91" s="129"/>
      <c r="E91" s="129"/>
    </row>
    <row r="92" spans="2:5" ht="36.75" customHeight="1" x14ac:dyDescent="0.25">
      <c r="B92" s="129"/>
      <c r="C92" s="129"/>
      <c r="D92" s="129"/>
      <c r="E92" s="129"/>
    </row>
    <row r="93" spans="2:5" ht="36.75" customHeight="1" x14ac:dyDescent="0.25">
      <c r="B93" s="129"/>
      <c r="C93" s="129"/>
      <c r="D93" s="129"/>
      <c r="E93" s="129"/>
    </row>
    <row r="94" spans="2:5" ht="36.75" customHeight="1" x14ac:dyDescent="0.25">
      <c r="B94" s="129"/>
      <c r="C94" s="129"/>
      <c r="D94" s="129"/>
      <c r="E94" s="129"/>
    </row>
    <row r="95" spans="2:5" ht="36.75" customHeight="1" x14ac:dyDescent="0.25">
      <c r="B95" s="129"/>
      <c r="C95" s="129"/>
      <c r="D95" s="129"/>
      <c r="E95" s="129"/>
    </row>
    <row r="96" spans="2:5" ht="36.75" customHeight="1" x14ac:dyDescent="0.25">
      <c r="B96" s="129"/>
      <c r="C96" s="129"/>
      <c r="D96" s="129"/>
      <c r="E96" s="129"/>
    </row>
    <row r="97" spans="2:5" ht="36.75" customHeight="1" x14ac:dyDescent="0.25">
      <c r="B97" s="129"/>
      <c r="C97" s="129"/>
      <c r="D97" s="129"/>
      <c r="E97" s="129"/>
    </row>
    <row r="98" spans="2:5" ht="36.75" customHeight="1" x14ac:dyDescent="0.25">
      <c r="B98" s="129"/>
      <c r="C98" s="129"/>
      <c r="D98" s="129"/>
      <c r="E98" s="129"/>
    </row>
    <row r="99" spans="2:5" ht="36.75" customHeight="1" x14ac:dyDescent="0.25">
      <c r="B99" s="129"/>
      <c r="C99" s="129"/>
      <c r="D99" s="129"/>
      <c r="E99" s="129"/>
    </row>
  </sheetData>
  <sheetProtection algorithmName="SHA-512" hashValue="4n6I/ag/pT+3hgSjeXGnbOCwA22k5UacheFoxBFw4nCCKYbazjAJhRbudMr2OESnvorBLAMgX+g+YEroMFOMZw==" saltValue="6iGFZoVij1uC0y0HLtzDdw==" spinCount="100000" sheet="1"/>
  <mergeCells count="2">
    <mergeCell ref="B5:E5"/>
    <mergeCell ref="B86:E86"/>
  </mergeCells>
  <pageMargins left="0.7" right="0.7" top="0.75" bottom="0.75" header="0.3" footer="0.3"/>
  <pageSetup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V157"/>
  <sheetViews>
    <sheetView topLeftCell="B1" zoomScale="70" zoomScaleNormal="70" workbookViewId="0">
      <selection activeCell="I24" sqref="I24"/>
    </sheetView>
  </sheetViews>
  <sheetFormatPr baseColWidth="10" defaultColWidth="11.42578125" defaultRowHeight="15" x14ac:dyDescent="0.25"/>
  <cols>
    <col min="1" max="1" width="3.7109375" style="17" customWidth="1"/>
    <col min="2" max="2" width="16.42578125" style="17" customWidth="1"/>
    <col min="3" max="3" width="15.140625" style="17" customWidth="1"/>
    <col min="4" max="4" width="11.42578125" style="17"/>
    <col min="5" max="5" width="15.140625" style="17" customWidth="1"/>
    <col min="6" max="7" width="13.85546875" style="17" customWidth="1"/>
    <col min="8" max="8" width="13.28515625" style="17" customWidth="1"/>
    <col min="9" max="9" width="29" style="17" customWidth="1"/>
    <col min="10" max="10" width="11.42578125" style="17"/>
    <col min="11" max="11" width="22.85546875" style="17" customWidth="1"/>
    <col min="12" max="19" width="11.42578125" style="17"/>
    <col min="20" max="20" width="29.85546875" style="17" customWidth="1"/>
    <col min="21" max="21" width="20.140625" style="17" customWidth="1"/>
    <col min="22" max="22" width="30.85546875" style="17" customWidth="1"/>
    <col min="23" max="16384" width="11.42578125" style="17"/>
  </cols>
  <sheetData>
    <row r="1" spans="1:22" x14ac:dyDescent="0.25">
      <c r="D1" s="18"/>
      <c r="E1" s="18"/>
      <c r="F1" s="18"/>
      <c r="G1" s="18"/>
      <c r="H1" s="18"/>
      <c r="I1" s="18"/>
    </row>
    <row r="2" spans="1:22" x14ac:dyDescent="0.25">
      <c r="C2" s="19"/>
      <c r="D2" s="241" t="s">
        <v>572</v>
      </c>
      <c r="E2" s="241"/>
      <c r="F2" s="241"/>
      <c r="G2" s="241"/>
      <c r="H2" s="241"/>
      <c r="I2" s="241"/>
      <c r="J2" s="20"/>
    </row>
    <row r="3" spans="1:22" x14ac:dyDescent="0.25">
      <c r="D3" s="22"/>
      <c r="E3" s="22"/>
      <c r="F3" s="22"/>
      <c r="G3" s="22"/>
      <c r="H3" s="22"/>
      <c r="I3" s="22"/>
    </row>
    <row r="4" spans="1:22" ht="30" hidden="1" x14ac:dyDescent="0.25">
      <c r="Q4" s="17" t="s">
        <v>68</v>
      </c>
      <c r="R4" s="17">
        <v>0</v>
      </c>
      <c r="T4" s="41" t="s">
        <v>444</v>
      </c>
      <c r="U4" s="41" t="s">
        <v>451</v>
      </c>
      <c r="V4" s="17" t="s">
        <v>455</v>
      </c>
    </row>
    <row r="5" spans="1:22" ht="45" hidden="1" x14ac:dyDescent="0.25">
      <c r="Q5" s="17" t="s">
        <v>69</v>
      </c>
      <c r="R5" s="17">
        <v>1</v>
      </c>
      <c r="T5" s="41" t="s">
        <v>445</v>
      </c>
      <c r="U5" s="41" t="s">
        <v>450</v>
      </c>
      <c r="V5" s="17" t="s">
        <v>456</v>
      </c>
    </row>
    <row r="6" spans="1:22" ht="45" hidden="1" x14ac:dyDescent="0.25">
      <c r="R6" s="17">
        <v>2</v>
      </c>
      <c r="T6" s="41" t="s">
        <v>446</v>
      </c>
      <c r="U6" s="41" t="s">
        <v>452</v>
      </c>
      <c r="V6" s="17" t="s">
        <v>457</v>
      </c>
    </row>
    <row r="7" spans="1:22" ht="30" hidden="1" x14ac:dyDescent="0.25">
      <c r="R7" s="17">
        <v>3</v>
      </c>
      <c r="T7" s="41" t="s">
        <v>447</v>
      </c>
      <c r="U7" s="41" t="s">
        <v>453</v>
      </c>
      <c r="V7" s="17" t="s">
        <v>458</v>
      </c>
    </row>
    <row r="8" spans="1:22" ht="30" hidden="1" x14ac:dyDescent="0.25">
      <c r="R8" s="17">
        <v>4</v>
      </c>
      <c r="T8" s="41" t="s">
        <v>448</v>
      </c>
      <c r="U8" s="41" t="s">
        <v>454</v>
      </c>
      <c r="V8" s="17" t="s">
        <v>459</v>
      </c>
    </row>
    <row r="9" spans="1:22" ht="30" hidden="1" x14ac:dyDescent="0.25">
      <c r="R9" s="17">
        <v>5</v>
      </c>
      <c r="T9" s="41" t="s">
        <v>449</v>
      </c>
      <c r="U9" s="41"/>
      <c r="V9" s="17" t="s">
        <v>460</v>
      </c>
    </row>
    <row r="13" spans="1:22" ht="30.75" customHeight="1" x14ac:dyDescent="0.25">
      <c r="B13" s="16" t="s">
        <v>38</v>
      </c>
      <c r="C13" s="236" t="s">
        <v>855</v>
      </c>
      <c r="D13" s="236"/>
      <c r="E13" s="236"/>
      <c r="F13" s="236"/>
      <c r="G13" s="236"/>
      <c r="H13" s="236"/>
      <c r="I13" s="236"/>
      <c r="J13" s="236"/>
      <c r="K13" s="236"/>
      <c r="L13" s="236"/>
      <c r="M13" s="236"/>
      <c r="N13" s="236"/>
      <c r="O13" s="236"/>
    </row>
    <row r="14" spans="1:22" x14ac:dyDescent="0.25">
      <c r="B14" s="18"/>
      <c r="C14" s="18"/>
      <c r="D14" s="18"/>
      <c r="E14" s="18"/>
      <c r="F14" s="18"/>
      <c r="G14" s="18"/>
      <c r="H14" s="18"/>
      <c r="I14" s="18"/>
      <c r="J14" s="18"/>
      <c r="K14" s="18"/>
      <c r="L14" s="18"/>
      <c r="M14" s="18"/>
      <c r="N14" s="18"/>
      <c r="O14" s="18"/>
    </row>
    <row r="15" spans="1:22" ht="78" customHeight="1" x14ac:dyDescent="0.25">
      <c r="A15" s="19"/>
      <c r="B15" s="16" t="s">
        <v>40</v>
      </c>
      <c r="C15" s="236" t="s">
        <v>861</v>
      </c>
      <c r="D15" s="236"/>
      <c r="E15" s="236"/>
      <c r="F15" s="236"/>
      <c r="G15" s="236"/>
      <c r="H15" s="236"/>
      <c r="I15" s="236"/>
      <c r="J15" s="236"/>
      <c r="K15" s="236"/>
      <c r="L15" s="236"/>
      <c r="M15" s="236"/>
      <c r="N15" s="236"/>
      <c r="O15" s="236"/>
      <c r="P15" s="20"/>
    </row>
    <row r="16" spans="1:22" x14ac:dyDescent="0.25">
      <c r="B16" s="21"/>
      <c r="C16" s="21"/>
      <c r="D16" s="21"/>
      <c r="E16" s="21"/>
      <c r="F16" s="21"/>
      <c r="I16" s="21"/>
      <c r="J16" s="22"/>
      <c r="K16" s="22"/>
      <c r="L16" s="22"/>
      <c r="M16" s="22"/>
      <c r="N16" s="22"/>
      <c r="O16" s="22"/>
    </row>
    <row r="17" spans="1:16" ht="29.25" customHeight="1" x14ac:dyDescent="0.25">
      <c r="A17" s="19"/>
      <c r="B17" s="23" t="s">
        <v>41</v>
      </c>
      <c r="C17" s="235">
        <v>3111750850</v>
      </c>
      <c r="D17" s="235"/>
      <c r="E17" s="235"/>
      <c r="F17" s="235"/>
      <c r="J17" s="20"/>
      <c r="K17" s="23" t="s">
        <v>39</v>
      </c>
      <c r="L17" s="120">
        <v>10</v>
      </c>
      <c r="M17" s="35" t="s">
        <v>502</v>
      </c>
    </row>
    <row r="18" spans="1:16" x14ac:dyDescent="0.25">
      <c r="B18" s="18"/>
      <c r="C18" s="18"/>
      <c r="D18" s="18"/>
      <c r="E18" s="18"/>
      <c r="F18" s="18"/>
      <c r="K18" s="22"/>
      <c r="L18" s="22"/>
      <c r="M18" s="22"/>
      <c r="N18" s="22"/>
      <c r="O18" s="22"/>
    </row>
    <row r="19" spans="1:16" ht="30.95" customHeight="1" x14ac:dyDescent="0.25">
      <c r="A19" s="19"/>
      <c r="B19" s="23" t="s">
        <v>42</v>
      </c>
      <c r="C19" s="246" t="s">
        <v>450</v>
      </c>
      <c r="D19" s="247"/>
      <c r="E19" s="247"/>
      <c r="F19" s="248"/>
      <c r="J19" s="20"/>
      <c r="K19" s="23" t="s">
        <v>43</v>
      </c>
      <c r="L19" s="236" t="s">
        <v>445</v>
      </c>
      <c r="M19" s="236"/>
      <c r="N19" s="236"/>
      <c r="O19" s="236"/>
    </row>
    <row r="20" spans="1:16" ht="33" customHeight="1" x14ac:dyDescent="0.25">
      <c r="A20" s="19"/>
      <c r="L20" s="18"/>
      <c r="M20" s="18"/>
      <c r="N20" s="18"/>
      <c r="O20" s="18"/>
    </row>
    <row r="21" spans="1:16" ht="33" customHeight="1" x14ac:dyDescent="0.25">
      <c r="A21" s="19"/>
      <c r="B21" s="23" t="s">
        <v>67</v>
      </c>
      <c r="C21" s="121" t="s">
        <v>69</v>
      </c>
      <c r="D21" s="23" t="str">
        <f>"# de "&amp;C21&amp;"s"</f>
        <v># de Fases</v>
      </c>
      <c r="E21" s="122">
        <v>2</v>
      </c>
      <c r="K21" s="52" t="s">
        <v>505</v>
      </c>
      <c r="L21" s="242">
        <v>1423500</v>
      </c>
      <c r="M21" s="243"/>
      <c r="N21" s="243"/>
      <c r="O21" s="244"/>
      <c r="P21" s="20"/>
    </row>
    <row r="22" spans="1:16" ht="33" customHeight="1" x14ac:dyDescent="0.25">
      <c r="A22" s="19"/>
      <c r="G22" s="18"/>
      <c r="I22" s="18"/>
      <c r="L22" s="22"/>
      <c r="M22" s="22"/>
      <c r="N22" s="22"/>
      <c r="O22" s="22"/>
    </row>
    <row r="23" spans="1:16" ht="33" customHeight="1" x14ac:dyDescent="0.25">
      <c r="A23" s="19"/>
      <c r="B23" s="23" t="str">
        <f>IF(E21&gt;=1,"Nombre "&amp;C21&amp;" "&amp;1,"")</f>
        <v>Nombre Fase 1</v>
      </c>
      <c r="C23" s="245" t="s">
        <v>853</v>
      </c>
      <c r="D23" s="245"/>
      <c r="E23" s="23" t="str">
        <f>IF($E$21&gt;=1,"Duración "&amp;$C$21&amp;" "&amp;1,"")</f>
        <v>Duración Fase 1</v>
      </c>
      <c r="F23" s="123">
        <v>4</v>
      </c>
      <c r="G23" s="54" t="s">
        <v>502</v>
      </c>
      <c r="H23" s="55" t="str">
        <f>IF($E$21&gt;=1,"Valor "&amp;$C$21&amp;" "&amp;1,"")</f>
        <v>Valor Fase 1</v>
      </c>
      <c r="I23" s="124">
        <f>+$C$17*0.3</f>
        <v>933525255</v>
      </c>
      <c r="J23" s="20"/>
      <c r="K23" s="23" t="str">
        <f>IF($E$21&gt;=1,"Forma de Pago "&amp;$C$21&amp;" "&amp;1,"")</f>
        <v>Forma de Pago Fase 1</v>
      </c>
      <c r="L23" s="236" t="s">
        <v>458</v>
      </c>
      <c r="M23" s="236"/>
      <c r="N23" s="236"/>
      <c r="O23" s="236"/>
    </row>
    <row r="24" spans="1:16" ht="33" customHeight="1" x14ac:dyDescent="0.25">
      <c r="A24" s="19"/>
      <c r="B24" s="24" t="str">
        <f>IF(E21&gt;=2,"Nombre "&amp;C21&amp;" "&amp;2,"")</f>
        <v>Nombre Fase 2</v>
      </c>
      <c r="C24" s="245" t="s">
        <v>859</v>
      </c>
      <c r="D24" s="245"/>
      <c r="E24" s="23" t="str">
        <f>IF($E$21&gt;=2,"Duración "&amp;$C$21&amp;" "&amp;2,"")</f>
        <v>Duración Fase 2</v>
      </c>
      <c r="F24" s="123">
        <v>6</v>
      </c>
      <c r="G24" s="54" t="s">
        <v>502</v>
      </c>
      <c r="H24" s="55" t="str">
        <f>IF($E$21&gt;=2,"Valor "&amp;$C$21&amp;" "&amp;2,"")</f>
        <v>Valor Fase 2</v>
      </c>
      <c r="I24" s="124">
        <f>+$C$17*0.6</f>
        <v>1867050510</v>
      </c>
      <c r="J24" s="20"/>
      <c r="K24" s="23" t="str">
        <f>IF($E$21&gt;=2,"Forma de Pago "&amp;$C$21&amp;" "&amp;2,"")</f>
        <v>Forma de Pago Fase 2</v>
      </c>
      <c r="L24" s="236" t="s">
        <v>458</v>
      </c>
      <c r="M24" s="236"/>
      <c r="N24" s="236"/>
      <c r="O24" s="236"/>
    </row>
    <row r="25" spans="1:16" ht="33" customHeight="1" x14ac:dyDescent="0.25">
      <c r="A25" s="19"/>
      <c r="B25" s="24" t="str">
        <f>IF(E21&gt;=3,"Nombre "&amp;C21&amp;" "&amp;3,"")</f>
        <v/>
      </c>
      <c r="C25" s="245"/>
      <c r="D25" s="245"/>
      <c r="E25" s="23" t="str">
        <f>IF($E$21&gt;=3,"Duración "&amp;$C$21&amp;" "&amp;3,"")</f>
        <v/>
      </c>
      <c r="F25" s="123"/>
      <c r="G25" s="54" t="s">
        <v>502</v>
      </c>
      <c r="H25" s="55" t="str">
        <f>IF($E$21&gt;=3,"Valor "&amp;$C$21&amp;" "&amp;3,"")</f>
        <v/>
      </c>
      <c r="I25" s="124"/>
      <c r="J25" s="20"/>
      <c r="K25" s="23" t="str">
        <f>IF($E$21&gt;=3,"Forma de Pago "&amp;$C$21&amp;" "&amp;3,"")</f>
        <v/>
      </c>
      <c r="L25" s="236"/>
      <c r="M25" s="236"/>
      <c r="N25" s="236"/>
      <c r="O25" s="236"/>
    </row>
    <row r="26" spans="1:16" ht="33" customHeight="1" x14ac:dyDescent="0.25">
      <c r="A26" s="19"/>
      <c r="B26" s="24" t="str">
        <f>IF(E21&gt;=4,"Nombre "&amp;C21&amp;" "&amp;4,"")</f>
        <v/>
      </c>
      <c r="C26" s="245"/>
      <c r="D26" s="245"/>
      <c r="E26" s="23" t="str">
        <f>IF($E$21&gt;=4,"Duración "&amp;$C$21&amp;" "&amp;4,"")</f>
        <v/>
      </c>
      <c r="F26" s="123"/>
      <c r="G26" s="54" t="s">
        <v>502</v>
      </c>
      <c r="H26" s="55" t="str">
        <f>IF($E$21&gt;=4,"Valor "&amp;$C$21&amp;" "&amp;4,"")</f>
        <v/>
      </c>
      <c r="I26" s="124"/>
      <c r="J26" s="20"/>
      <c r="K26" s="23" t="str">
        <f>IF($E$21&gt;=4,"Forma de Pago "&amp;$C$21&amp;" "&amp;4,"")</f>
        <v/>
      </c>
      <c r="L26" s="236"/>
      <c r="M26" s="236"/>
      <c r="N26" s="236"/>
      <c r="O26" s="236"/>
    </row>
    <row r="27" spans="1:16" ht="33" customHeight="1" x14ac:dyDescent="0.25">
      <c r="A27" s="19"/>
      <c r="B27" s="24" t="str">
        <f>IF(E21&gt;=5,"Nombre "&amp;C21&amp;" "&amp;5,"")</f>
        <v/>
      </c>
      <c r="C27" s="237"/>
      <c r="D27" s="239"/>
      <c r="E27" s="23" t="str">
        <f>IF($E$21&gt;=5,"Duración "&amp;$C$21&amp;" "&amp;5,"")</f>
        <v/>
      </c>
      <c r="F27" s="123"/>
      <c r="G27" s="54" t="s">
        <v>502</v>
      </c>
      <c r="H27" s="55" t="str">
        <f>IF($E$21&gt;=5,"Valor "&amp;$C$21&amp;" "&amp;5,"")</f>
        <v/>
      </c>
      <c r="I27" s="124"/>
      <c r="J27" s="20"/>
      <c r="K27" s="23" t="str">
        <f>IF($E$21&gt;=5,"Forma de Pago "&amp;$C$21&amp;" "&amp;5,"")</f>
        <v/>
      </c>
      <c r="L27" s="236"/>
      <c r="M27" s="236"/>
      <c r="N27" s="236"/>
      <c r="O27" s="236"/>
    </row>
    <row r="28" spans="1:16" ht="33" customHeight="1" x14ac:dyDescent="0.25">
      <c r="A28" s="19"/>
      <c r="B28" s="24" t="str">
        <f>IF(E21&gt;=6,"Nombre "&amp;C21&amp;" "&amp;6,"")</f>
        <v/>
      </c>
      <c r="C28" s="237"/>
      <c r="D28" s="239"/>
      <c r="E28" s="23" t="str">
        <f>IF($E$21&gt;=6,"Duración "&amp;$C$21&amp;" "&amp;6,"")</f>
        <v/>
      </c>
      <c r="F28" s="123"/>
      <c r="G28" s="54" t="s">
        <v>502</v>
      </c>
      <c r="H28" s="55" t="str">
        <f>IF($E$21&gt;=6,"Valor "&amp;$C$21&amp;" "&amp;6,"")</f>
        <v/>
      </c>
      <c r="I28" s="124"/>
      <c r="J28" s="20"/>
      <c r="K28" s="23" t="str">
        <f>IF($E$21&gt;=6,"Forma de Pago "&amp;$C$21&amp;" "&amp;6,"")</f>
        <v/>
      </c>
      <c r="L28" s="236"/>
      <c r="M28" s="236"/>
      <c r="N28" s="236"/>
      <c r="O28" s="236"/>
    </row>
    <row r="29" spans="1:16" ht="33" customHeight="1" x14ac:dyDescent="0.25">
      <c r="A29" s="19"/>
      <c r="D29" s="22"/>
      <c r="E29" s="22"/>
      <c r="F29" s="22"/>
      <c r="G29" s="53"/>
      <c r="H29" s="53"/>
      <c r="I29" s="53"/>
      <c r="J29" s="20"/>
    </row>
    <row r="30" spans="1:16" ht="33" customHeight="1" x14ac:dyDescent="0.25">
      <c r="A30" s="19"/>
      <c r="B30" s="24" t="s">
        <v>431</v>
      </c>
      <c r="C30" s="237">
        <v>2</v>
      </c>
      <c r="D30" s="238"/>
      <c r="E30" s="238"/>
      <c r="F30" s="239"/>
      <c r="G30" s="53"/>
      <c r="H30" s="53"/>
      <c r="I30" s="53"/>
      <c r="J30" s="20"/>
    </row>
    <row r="31" spans="1:16" ht="33" customHeight="1" x14ac:dyDescent="0.25">
      <c r="A31" s="19"/>
      <c r="D31" s="22"/>
      <c r="E31" s="22"/>
      <c r="F31" s="22"/>
      <c r="G31" s="53"/>
      <c r="H31" s="53"/>
      <c r="I31" s="53"/>
      <c r="J31" s="20"/>
    </row>
    <row r="32" spans="1:16" ht="33" customHeight="1" x14ac:dyDescent="0.25">
      <c r="A32" s="19"/>
      <c r="B32" s="24" t="str">
        <f>IF($E$21&gt;=1,$C$21&amp;" "&amp;1,"")</f>
        <v>Fase 1</v>
      </c>
      <c r="G32" s="53"/>
      <c r="H32" s="53"/>
      <c r="I32" s="53"/>
      <c r="J32" s="20"/>
    </row>
    <row r="33" spans="1:10" ht="33" customHeight="1" x14ac:dyDescent="0.25">
      <c r="A33" s="19"/>
      <c r="B33" s="240" t="s">
        <v>33</v>
      </c>
      <c r="C33" s="240"/>
      <c r="D33" s="240"/>
      <c r="E33" s="240" t="s">
        <v>44</v>
      </c>
      <c r="F33" s="240"/>
      <c r="G33" s="53"/>
      <c r="H33" s="53"/>
      <c r="I33" s="53"/>
      <c r="J33" s="20"/>
    </row>
    <row r="34" spans="1:10" ht="56.25" customHeight="1" x14ac:dyDescent="0.25">
      <c r="A34" s="19"/>
      <c r="B34" s="236" t="s">
        <v>851</v>
      </c>
      <c r="C34" s="236"/>
      <c r="D34" s="236"/>
      <c r="E34" s="235">
        <f>+$I$23*0.8</f>
        <v>746820204</v>
      </c>
      <c r="F34" s="235"/>
      <c r="G34" s="53"/>
      <c r="H34" s="53"/>
      <c r="I34" s="53"/>
      <c r="J34" s="20"/>
    </row>
    <row r="35" spans="1:10" ht="60.75" customHeight="1" x14ac:dyDescent="0.25">
      <c r="A35" s="19"/>
      <c r="B35" s="236" t="s">
        <v>852</v>
      </c>
      <c r="C35" s="236"/>
      <c r="D35" s="236"/>
      <c r="E35" s="235">
        <f>+$I$23*0.2</f>
        <v>186705051</v>
      </c>
      <c r="F35" s="235"/>
      <c r="G35" s="53"/>
      <c r="H35" s="53"/>
      <c r="I35" s="53"/>
      <c r="J35" s="20"/>
    </row>
    <row r="36" spans="1:10" ht="33" customHeight="1" x14ac:dyDescent="0.25">
      <c r="A36" s="19"/>
      <c r="B36" s="236"/>
      <c r="C36" s="236"/>
      <c r="D36" s="236"/>
      <c r="E36" s="235"/>
      <c r="F36" s="235"/>
      <c r="G36" s="53"/>
      <c r="H36" s="53"/>
      <c r="I36" s="53"/>
      <c r="J36" s="20"/>
    </row>
    <row r="37" spans="1:10" ht="33" customHeight="1" x14ac:dyDescent="0.25">
      <c r="A37" s="19"/>
      <c r="B37" s="236"/>
      <c r="C37" s="236"/>
      <c r="D37" s="236"/>
      <c r="E37" s="235"/>
      <c r="F37" s="235"/>
      <c r="G37" s="53"/>
      <c r="H37" s="53"/>
      <c r="I37" s="53"/>
      <c r="J37" s="20"/>
    </row>
    <row r="38" spans="1:10" x14ac:dyDescent="0.25">
      <c r="A38" s="19"/>
      <c r="B38" s="236"/>
      <c r="C38" s="236"/>
      <c r="D38" s="236"/>
      <c r="E38" s="235"/>
      <c r="F38" s="235"/>
      <c r="G38" s="53"/>
      <c r="H38" s="53"/>
      <c r="I38" s="53"/>
    </row>
    <row r="39" spans="1:10" x14ac:dyDescent="0.25">
      <c r="A39" s="19"/>
      <c r="B39" s="236"/>
      <c r="C39" s="236"/>
      <c r="D39" s="236"/>
      <c r="E39" s="235"/>
      <c r="F39" s="235"/>
      <c r="G39" s="53"/>
      <c r="H39" s="53"/>
      <c r="I39" s="53"/>
    </row>
    <row r="40" spans="1:10" x14ac:dyDescent="0.25">
      <c r="A40" s="19"/>
      <c r="B40" s="236"/>
      <c r="C40" s="236"/>
      <c r="D40" s="236"/>
      <c r="E40" s="235"/>
      <c r="F40" s="235"/>
      <c r="G40" s="53"/>
      <c r="H40" s="53"/>
      <c r="I40" s="53"/>
    </row>
    <row r="41" spans="1:10" x14ac:dyDescent="0.25">
      <c r="A41" s="19"/>
      <c r="B41" s="236"/>
      <c r="C41" s="236"/>
      <c r="D41" s="236"/>
      <c r="E41" s="235"/>
      <c r="F41" s="235"/>
      <c r="G41" s="53"/>
      <c r="H41" s="53"/>
      <c r="I41" s="53"/>
    </row>
    <row r="42" spans="1:10" x14ac:dyDescent="0.25">
      <c r="A42" s="19"/>
      <c r="B42" s="236"/>
      <c r="C42" s="236"/>
      <c r="D42" s="236"/>
      <c r="E42" s="235"/>
      <c r="F42" s="235"/>
      <c r="G42" s="53"/>
      <c r="H42" s="53"/>
      <c r="I42" s="53"/>
    </row>
    <row r="43" spans="1:10" x14ac:dyDescent="0.25">
      <c r="B43" s="236"/>
      <c r="C43" s="236"/>
      <c r="D43" s="236"/>
      <c r="E43" s="235"/>
      <c r="F43" s="235"/>
      <c r="G43" s="53"/>
      <c r="H43" s="53"/>
      <c r="I43" s="53"/>
    </row>
    <row r="44" spans="1:10" x14ac:dyDescent="0.25">
      <c r="B44" s="236"/>
      <c r="C44" s="236"/>
      <c r="D44" s="236"/>
      <c r="E44" s="235"/>
      <c r="F44" s="235"/>
      <c r="G44" s="53"/>
      <c r="H44" s="53"/>
      <c r="I44" s="53"/>
    </row>
    <row r="45" spans="1:10" x14ac:dyDescent="0.25">
      <c r="B45" s="236"/>
      <c r="C45" s="236"/>
      <c r="D45" s="236"/>
      <c r="E45" s="235"/>
      <c r="F45" s="235"/>
      <c r="G45" s="53"/>
      <c r="H45" s="53"/>
      <c r="I45" s="53"/>
    </row>
    <row r="46" spans="1:10" x14ac:dyDescent="0.25">
      <c r="B46" s="236"/>
      <c r="C46" s="236"/>
      <c r="D46" s="236"/>
      <c r="E46" s="235"/>
      <c r="F46" s="235"/>
      <c r="G46" s="53"/>
      <c r="H46" s="53"/>
      <c r="I46" s="53"/>
    </row>
    <row r="47" spans="1:10" x14ac:dyDescent="0.25">
      <c r="B47" s="236"/>
      <c r="C47" s="236"/>
      <c r="D47" s="236"/>
      <c r="E47" s="235"/>
      <c r="F47" s="235"/>
      <c r="G47" s="53"/>
      <c r="H47" s="53"/>
      <c r="I47" s="53"/>
    </row>
    <row r="48" spans="1:10" x14ac:dyDescent="0.25">
      <c r="B48" s="22"/>
      <c r="C48" s="22"/>
      <c r="D48" s="22"/>
      <c r="E48" s="22"/>
      <c r="F48" s="22"/>
      <c r="G48" s="53"/>
      <c r="H48" s="53"/>
      <c r="I48" s="53"/>
    </row>
    <row r="49" spans="2:9" x14ac:dyDescent="0.25">
      <c r="B49" s="24" t="str">
        <f>IF($E$21&gt;=2,$C$21&amp;" "&amp;2,"")</f>
        <v>Fase 2</v>
      </c>
      <c r="G49" s="53"/>
      <c r="H49" s="53"/>
      <c r="I49" s="53"/>
    </row>
    <row r="50" spans="2:9" x14ac:dyDescent="0.25">
      <c r="B50" s="240" t="s">
        <v>33</v>
      </c>
      <c r="C50" s="240"/>
      <c r="D50" s="240"/>
      <c r="E50" s="240" t="s">
        <v>44</v>
      </c>
      <c r="F50" s="240"/>
      <c r="G50" s="53"/>
      <c r="H50" s="53"/>
      <c r="I50" s="53"/>
    </row>
    <row r="51" spans="2:9" x14ac:dyDescent="0.25">
      <c r="B51" s="236" t="s">
        <v>851</v>
      </c>
      <c r="C51" s="236"/>
      <c r="D51" s="236"/>
      <c r="E51" s="235">
        <f>+$I$24*0.8</f>
        <v>1493640408</v>
      </c>
      <c r="F51" s="235"/>
      <c r="G51" s="53"/>
      <c r="H51" s="53"/>
      <c r="I51" s="53"/>
    </row>
    <row r="52" spans="2:9" x14ac:dyDescent="0.25">
      <c r="B52" s="236" t="s">
        <v>852</v>
      </c>
      <c r="C52" s="236"/>
      <c r="D52" s="236"/>
      <c r="E52" s="235">
        <f>+$I$24*0.2</f>
        <v>373410102</v>
      </c>
      <c r="F52" s="235"/>
      <c r="G52" s="53"/>
      <c r="H52" s="53"/>
      <c r="I52" s="53"/>
    </row>
    <row r="53" spans="2:9" x14ac:dyDescent="0.25">
      <c r="B53" s="236"/>
      <c r="C53" s="236"/>
      <c r="D53" s="236"/>
      <c r="E53" s="235"/>
      <c r="F53" s="235"/>
      <c r="G53" s="53"/>
      <c r="H53" s="53"/>
      <c r="I53" s="53"/>
    </row>
    <row r="54" spans="2:9" x14ac:dyDescent="0.25">
      <c r="B54" s="236"/>
      <c r="C54" s="236"/>
      <c r="D54" s="236"/>
      <c r="E54" s="235"/>
      <c r="F54" s="235"/>
      <c r="G54" s="53"/>
      <c r="H54" s="53"/>
      <c r="I54" s="53"/>
    </row>
    <row r="55" spans="2:9" x14ac:dyDescent="0.25">
      <c r="B55" s="236"/>
      <c r="C55" s="236"/>
      <c r="D55" s="236"/>
      <c r="E55" s="235"/>
      <c r="F55" s="235"/>
      <c r="G55" s="53"/>
      <c r="H55" s="53"/>
      <c r="I55" s="53"/>
    </row>
    <row r="56" spans="2:9" x14ac:dyDescent="0.25">
      <c r="B56" s="236"/>
      <c r="C56" s="236"/>
      <c r="D56" s="236"/>
      <c r="E56" s="235"/>
      <c r="F56" s="235"/>
      <c r="G56" s="53"/>
      <c r="H56" s="53"/>
      <c r="I56" s="53"/>
    </row>
    <row r="57" spans="2:9" x14ac:dyDescent="0.25">
      <c r="B57" s="236"/>
      <c r="C57" s="236"/>
      <c r="D57" s="236"/>
      <c r="E57" s="235"/>
      <c r="F57" s="235"/>
      <c r="G57" s="53"/>
      <c r="H57" s="53"/>
      <c r="I57" s="53"/>
    </row>
    <row r="58" spans="2:9" x14ac:dyDescent="0.25">
      <c r="B58" s="236"/>
      <c r="C58" s="236"/>
      <c r="D58" s="236"/>
      <c r="E58" s="235"/>
      <c r="F58" s="235"/>
      <c r="G58" s="53"/>
      <c r="H58" s="53"/>
      <c r="I58" s="53"/>
    </row>
    <row r="59" spans="2:9" x14ac:dyDescent="0.25">
      <c r="B59" s="236"/>
      <c r="C59" s="236"/>
      <c r="D59" s="236"/>
      <c r="E59" s="235"/>
      <c r="F59" s="235"/>
      <c r="G59" s="53"/>
      <c r="H59" s="53"/>
      <c r="I59" s="53"/>
    </row>
    <row r="60" spans="2:9" x14ac:dyDescent="0.25">
      <c r="B60" s="236"/>
      <c r="C60" s="236"/>
      <c r="D60" s="236"/>
      <c r="E60" s="235"/>
      <c r="F60" s="235"/>
      <c r="G60" s="53"/>
      <c r="H60" s="53"/>
      <c r="I60" s="53"/>
    </row>
    <row r="61" spans="2:9" x14ac:dyDescent="0.25">
      <c r="B61" s="236"/>
      <c r="C61" s="236"/>
      <c r="D61" s="236"/>
      <c r="E61" s="235"/>
      <c r="F61" s="235"/>
      <c r="G61" s="53"/>
      <c r="H61" s="53"/>
      <c r="I61" s="53"/>
    </row>
    <row r="62" spans="2:9" x14ac:dyDescent="0.25">
      <c r="B62" s="236"/>
      <c r="C62" s="236"/>
      <c r="D62" s="236"/>
      <c r="E62" s="235"/>
      <c r="F62" s="235"/>
      <c r="G62" s="53"/>
      <c r="H62" s="53"/>
      <c r="I62" s="53"/>
    </row>
    <row r="63" spans="2:9" x14ac:dyDescent="0.25">
      <c r="B63" s="236"/>
      <c r="C63" s="236"/>
      <c r="D63" s="236"/>
      <c r="E63" s="235"/>
      <c r="F63" s="235"/>
      <c r="G63" s="53"/>
      <c r="H63" s="53"/>
      <c r="I63" s="53"/>
    </row>
    <row r="64" spans="2:9" x14ac:dyDescent="0.25">
      <c r="B64" s="236"/>
      <c r="C64" s="236"/>
      <c r="D64" s="236"/>
      <c r="E64" s="235"/>
      <c r="F64" s="235"/>
      <c r="G64" s="53"/>
      <c r="H64" s="53"/>
      <c r="I64" s="53"/>
    </row>
    <row r="65" spans="2:9" x14ac:dyDescent="0.25">
      <c r="G65" s="53"/>
      <c r="H65" s="53"/>
      <c r="I65" s="53"/>
    </row>
    <row r="66" spans="2:9" x14ac:dyDescent="0.25">
      <c r="B66" s="24" t="str">
        <f>IF($E$21&gt;=3,$C$21&amp;" "&amp;3,"")</f>
        <v/>
      </c>
      <c r="G66" s="53"/>
      <c r="H66" s="53"/>
      <c r="I66" s="53"/>
    </row>
    <row r="67" spans="2:9" x14ac:dyDescent="0.25">
      <c r="B67" s="240" t="s">
        <v>33</v>
      </c>
      <c r="C67" s="240"/>
      <c r="D67" s="240"/>
      <c r="E67" s="240" t="s">
        <v>44</v>
      </c>
      <c r="F67" s="240"/>
      <c r="G67" s="53"/>
      <c r="H67" s="53"/>
      <c r="I67" s="53"/>
    </row>
    <row r="68" spans="2:9" x14ac:dyDescent="0.25">
      <c r="B68" s="236"/>
      <c r="C68" s="236"/>
      <c r="D68" s="236"/>
      <c r="E68" s="235">
        <f>+$I$25*0.7</f>
        <v>0</v>
      </c>
      <c r="F68" s="235"/>
      <c r="G68" s="53"/>
      <c r="H68" s="53"/>
      <c r="I68" s="53"/>
    </row>
    <row r="69" spans="2:9" x14ac:dyDescent="0.25">
      <c r="B69" s="236"/>
      <c r="C69" s="236"/>
      <c r="D69" s="236"/>
      <c r="E69" s="235">
        <f>+$I$25*0.1</f>
        <v>0</v>
      </c>
      <c r="F69" s="235"/>
      <c r="G69" s="53"/>
      <c r="H69" s="53"/>
      <c r="I69" s="53"/>
    </row>
    <row r="70" spans="2:9" x14ac:dyDescent="0.25">
      <c r="B70" s="236"/>
      <c r="C70" s="236"/>
      <c r="D70" s="236"/>
      <c r="E70" s="235">
        <f>+$I$25*0.2</f>
        <v>0</v>
      </c>
      <c r="F70" s="235"/>
      <c r="G70" s="53"/>
      <c r="H70" s="53"/>
      <c r="I70" s="53"/>
    </row>
    <row r="71" spans="2:9" x14ac:dyDescent="0.25">
      <c r="B71" s="236"/>
      <c r="C71" s="236"/>
      <c r="D71" s="236"/>
      <c r="E71" s="235"/>
      <c r="F71" s="235"/>
      <c r="G71" s="53"/>
      <c r="H71" s="53"/>
      <c r="I71" s="53"/>
    </row>
    <row r="72" spans="2:9" x14ac:dyDescent="0.25">
      <c r="B72" s="236"/>
      <c r="C72" s="236"/>
      <c r="D72" s="236"/>
      <c r="E72" s="235"/>
      <c r="F72" s="235"/>
      <c r="G72" s="53"/>
      <c r="H72" s="53"/>
      <c r="I72" s="53"/>
    </row>
    <row r="73" spans="2:9" x14ac:dyDescent="0.25">
      <c r="B73" s="236"/>
      <c r="C73" s="236"/>
      <c r="D73" s="236"/>
      <c r="E73" s="235"/>
      <c r="F73" s="235"/>
      <c r="G73" s="53"/>
      <c r="H73" s="53"/>
      <c r="I73" s="53"/>
    </row>
    <row r="74" spans="2:9" x14ac:dyDescent="0.25">
      <c r="B74" s="236"/>
      <c r="C74" s="236"/>
      <c r="D74" s="236"/>
      <c r="E74" s="235"/>
      <c r="F74" s="235"/>
      <c r="G74" s="53"/>
      <c r="H74" s="53"/>
      <c r="I74" s="53"/>
    </row>
    <row r="75" spans="2:9" x14ac:dyDescent="0.25">
      <c r="B75" s="236"/>
      <c r="C75" s="236"/>
      <c r="D75" s="236"/>
      <c r="E75" s="235"/>
      <c r="F75" s="235"/>
      <c r="G75" s="53"/>
      <c r="H75" s="53"/>
      <c r="I75" s="53"/>
    </row>
    <row r="76" spans="2:9" x14ac:dyDescent="0.25">
      <c r="B76" s="236"/>
      <c r="C76" s="236"/>
      <c r="D76" s="236"/>
      <c r="E76" s="235"/>
      <c r="F76" s="235"/>
      <c r="G76" s="53"/>
      <c r="H76" s="53"/>
      <c r="I76" s="53"/>
    </row>
    <row r="77" spans="2:9" x14ac:dyDescent="0.25">
      <c r="B77" s="236"/>
      <c r="C77" s="236"/>
      <c r="D77" s="236"/>
      <c r="E77" s="235"/>
      <c r="F77" s="235"/>
      <c r="G77" s="53"/>
      <c r="H77" s="53"/>
      <c r="I77" s="53"/>
    </row>
    <row r="78" spans="2:9" x14ac:dyDescent="0.25">
      <c r="B78" s="236"/>
      <c r="C78" s="236"/>
      <c r="D78" s="236"/>
      <c r="E78" s="235"/>
      <c r="F78" s="235"/>
      <c r="G78" s="53"/>
      <c r="H78" s="53"/>
      <c r="I78" s="53"/>
    </row>
    <row r="79" spans="2:9" x14ac:dyDescent="0.25">
      <c r="B79" s="236"/>
      <c r="C79" s="236"/>
      <c r="D79" s="236"/>
      <c r="E79" s="235"/>
      <c r="F79" s="235"/>
      <c r="G79" s="53"/>
      <c r="H79" s="53"/>
      <c r="I79" s="53"/>
    </row>
    <row r="80" spans="2:9" x14ac:dyDescent="0.25">
      <c r="B80" s="236"/>
      <c r="C80" s="236"/>
      <c r="D80" s="236"/>
      <c r="E80" s="235"/>
      <c r="F80" s="235"/>
      <c r="G80" s="53"/>
      <c r="H80" s="53"/>
      <c r="I80" s="53"/>
    </row>
    <row r="81" spans="2:9" x14ac:dyDescent="0.25">
      <c r="B81" s="236"/>
      <c r="C81" s="236"/>
      <c r="D81" s="236"/>
      <c r="E81" s="235"/>
      <c r="F81" s="235"/>
      <c r="G81" s="53"/>
      <c r="H81" s="53"/>
      <c r="I81" s="53"/>
    </row>
    <row r="82" spans="2:9" x14ac:dyDescent="0.25">
      <c r="G82" s="53"/>
      <c r="H82" s="53"/>
      <c r="I82" s="53"/>
    </row>
    <row r="83" spans="2:9" x14ac:dyDescent="0.25">
      <c r="B83" s="24" t="str">
        <f>IF($E$21&gt;=4,$C$21&amp;" "&amp;4,"")</f>
        <v/>
      </c>
      <c r="G83" s="53"/>
      <c r="H83" s="53"/>
      <c r="I83" s="53"/>
    </row>
    <row r="84" spans="2:9" x14ac:dyDescent="0.25">
      <c r="B84" s="240" t="s">
        <v>33</v>
      </c>
      <c r="C84" s="240"/>
      <c r="D84" s="240"/>
      <c r="E84" s="240" t="s">
        <v>44</v>
      </c>
      <c r="F84" s="240"/>
      <c r="G84" s="53"/>
      <c r="H84" s="53"/>
      <c r="I84" s="53"/>
    </row>
    <row r="85" spans="2:9" x14ac:dyDescent="0.25">
      <c r="B85" s="236" t="s">
        <v>851</v>
      </c>
      <c r="C85" s="236"/>
      <c r="D85" s="236"/>
      <c r="E85" s="235">
        <f>+$I$26*0.7</f>
        <v>0</v>
      </c>
      <c r="F85" s="235"/>
      <c r="G85" s="53"/>
      <c r="H85" s="53"/>
      <c r="I85" s="53"/>
    </row>
    <row r="86" spans="2:9" x14ac:dyDescent="0.25">
      <c r="B86" s="236" t="s">
        <v>852</v>
      </c>
      <c r="C86" s="236"/>
      <c r="D86" s="236"/>
      <c r="E86" s="235">
        <f>+$I$26*0.1</f>
        <v>0</v>
      </c>
      <c r="F86" s="235"/>
      <c r="G86" s="53"/>
      <c r="H86" s="53"/>
      <c r="I86" s="53"/>
    </row>
    <row r="87" spans="2:9" x14ac:dyDescent="0.25">
      <c r="B87" s="236" t="s">
        <v>854</v>
      </c>
      <c r="C87" s="236"/>
      <c r="D87" s="236"/>
      <c r="E87" s="235">
        <f>+$I$26*0.2</f>
        <v>0</v>
      </c>
      <c r="F87" s="235"/>
      <c r="G87" s="53"/>
      <c r="H87" s="53"/>
      <c r="I87" s="53"/>
    </row>
    <row r="88" spans="2:9" x14ac:dyDescent="0.25">
      <c r="B88" s="236"/>
      <c r="C88" s="236"/>
      <c r="D88" s="236"/>
      <c r="E88" s="235"/>
      <c r="F88" s="235"/>
      <c r="G88" s="53"/>
      <c r="H88" s="53"/>
      <c r="I88" s="53"/>
    </row>
    <row r="89" spans="2:9" x14ac:dyDescent="0.25">
      <c r="B89" s="236"/>
      <c r="C89" s="236"/>
      <c r="D89" s="236"/>
      <c r="E89" s="235"/>
      <c r="F89" s="235"/>
      <c r="G89" s="53"/>
      <c r="H89" s="53"/>
      <c r="I89" s="53"/>
    </row>
    <row r="90" spans="2:9" x14ac:dyDescent="0.25">
      <c r="B90" s="236"/>
      <c r="C90" s="236"/>
      <c r="D90" s="236"/>
      <c r="E90" s="235"/>
      <c r="F90" s="235"/>
      <c r="G90" s="53"/>
      <c r="H90" s="53"/>
      <c r="I90" s="53"/>
    </row>
    <row r="91" spans="2:9" x14ac:dyDescent="0.25">
      <c r="B91" s="236"/>
      <c r="C91" s="236"/>
      <c r="D91" s="236"/>
      <c r="E91" s="235"/>
      <c r="F91" s="235"/>
      <c r="G91" s="53"/>
      <c r="H91" s="53"/>
      <c r="I91" s="53"/>
    </row>
    <row r="92" spans="2:9" x14ac:dyDescent="0.25">
      <c r="B92" s="236"/>
      <c r="C92" s="236"/>
      <c r="D92" s="236"/>
      <c r="E92" s="235"/>
      <c r="F92" s="235"/>
      <c r="G92" s="53"/>
      <c r="H92" s="53"/>
      <c r="I92" s="53"/>
    </row>
    <row r="93" spans="2:9" x14ac:dyDescent="0.25">
      <c r="B93" s="236"/>
      <c r="C93" s="236"/>
      <c r="D93" s="236"/>
      <c r="E93" s="235"/>
      <c r="F93" s="235"/>
      <c r="G93" s="53"/>
      <c r="H93" s="53"/>
      <c r="I93" s="53"/>
    </row>
    <row r="94" spans="2:9" x14ac:dyDescent="0.25">
      <c r="B94" s="236"/>
      <c r="C94" s="236"/>
      <c r="D94" s="236"/>
      <c r="E94" s="235"/>
      <c r="F94" s="235"/>
      <c r="G94" s="53"/>
      <c r="H94" s="53"/>
      <c r="I94" s="53"/>
    </row>
    <row r="95" spans="2:9" x14ac:dyDescent="0.25">
      <c r="B95" s="236"/>
      <c r="C95" s="236"/>
      <c r="D95" s="236"/>
      <c r="E95" s="235"/>
      <c r="F95" s="235"/>
      <c r="G95" s="53"/>
      <c r="H95" s="53"/>
      <c r="I95" s="53"/>
    </row>
    <row r="96" spans="2:9" x14ac:dyDescent="0.25">
      <c r="B96" s="236"/>
      <c r="C96" s="236"/>
      <c r="D96" s="236"/>
      <c r="E96" s="235"/>
      <c r="F96" s="235"/>
      <c r="G96" s="53"/>
      <c r="H96" s="53"/>
      <c r="I96" s="53"/>
    </row>
    <row r="97" spans="2:9" x14ac:dyDescent="0.25">
      <c r="B97" s="236"/>
      <c r="C97" s="236"/>
      <c r="D97" s="236"/>
      <c r="E97" s="235"/>
      <c r="F97" s="235"/>
      <c r="G97" s="53"/>
      <c r="H97" s="53"/>
      <c r="I97" s="53"/>
    </row>
    <row r="98" spans="2:9" x14ac:dyDescent="0.25">
      <c r="B98" s="236"/>
      <c r="C98" s="236"/>
      <c r="D98" s="236"/>
      <c r="E98" s="235"/>
      <c r="F98" s="235"/>
      <c r="G98" s="53"/>
      <c r="H98" s="53"/>
      <c r="I98" s="53"/>
    </row>
    <row r="99" spans="2:9" x14ac:dyDescent="0.25">
      <c r="G99" s="53"/>
      <c r="H99" s="53"/>
      <c r="I99" s="53"/>
    </row>
    <row r="100" spans="2:9" x14ac:dyDescent="0.25">
      <c r="B100" s="24" t="str">
        <f>IF($E$21&gt;=5,$C$21&amp;" "&amp;5,"")</f>
        <v/>
      </c>
      <c r="G100" s="53"/>
      <c r="H100" s="53"/>
      <c r="I100" s="53"/>
    </row>
    <row r="101" spans="2:9" x14ac:dyDescent="0.25">
      <c r="B101" s="240" t="s">
        <v>33</v>
      </c>
      <c r="C101" s="240"/>
      <c r="D101" s="240"/>
      <c r="E101" s="240" t="s">
        <v>44</v>
      </c>
      <c r="F101" s="240"/>
      <c r="G101" s="53"/>
      <c r="H101" s="53"/>
      <c r="I101" s="53"/>
    </row>
    <row r="102" spans="2:9" x14ac:dyDescent="0.25">
      <c r="B102" s="236"/>
      <c r="C102" s="236"/>
      <c r="D102" s="236"/>
      <c r="E102" s="235"/>
      <c r="F102" s="235"/>
      <c r="G102" s="53"/>
      <c r="H102" s="53"/>
      <c r="I102" s="53"/>
    </row>
    <row r="103" spans="2:9" x14ac:dyDescent="0.25">
      <c r="B103" s="236"/>
      <c r="C103" s="236"/>
      <c r="D103" s="236"/>
      <c r="E103" s="235"/>
      <c r="F103" s="235"/>
      <c r="G103" s="53"/>
      <c r="H103" s="53"/>
      <c r="I103" s="53"/>
    </row>
    <row r="104" spans="2:9" x14ac:dyDescent="0.25">
      <c r="B104" s="236"/>
      <c r="C104" s="236"/>
      <c r="D104" s="236"/>
      <c r="E104" s="235"/>
      <c r="F104" s="235"/>
      <c r="G104" s="53"/>
      <c r="H104" s="53"/>
      <c r="I104" s="53"/>
    </row>
    <row r="105" spans="2:9" x14ac:dyDescent="0.25">
      <c r="B105" s="236"/>
      <c r="C105" s="236"/>
      <c r="D105" s="236"/>
      <c r="E105" s="235"/>
      <c r="F105" s="235"/>
      <c r="G105" s="53"/>
      <c r="H105" s="53"/>
      <c r="I105" s="53"/>
    </row>
    <row r="106" spans="2:9" x14ac:dyDescent="0.25">
      <c r="B106" s="236"/>
      <c r="C106" s="236"/>
      <c r="D106" s="236"/>
      <c r="E106" s="235"/>
      <c r="F106" s="235"/>
      <c r="G106" s="53"/>
      <c r="H106" s="53"/>
      <c r="I106" s="53"/>
    </row>
    <row r="107" spans="2:9" x14ac:dyDescent="0.25">
      <c r="B107" s="236"/>
      <c r="C107" s="236"/>
      <c r="D107" s="236"/>
      <c r="E107" s="235"/>
      <c r="F107" s="235"/>
      <c r="G107" s="53"/>
      <c r="H107" s="53"/>
      <c r="I107" s="53"/>
    </row>
    <row r="108" spans="2:9" x14ac:dyDescent="0.25">
      <c r="B108" s="236"/>
      <c r="C108" s="236"/>
      <c r="D108" s="236"/>
      <c r="E108" s="235"/>
      <c r="F108" s="235"/>
      <c r="G108" s="53"/>
      <c r="H108" s="53"/>
      <c r="I108" s="53"/>
    </row>
    <row r="109" spans="2:9" x14ac:dyDescent="0.25">
      <c r="B109" s="236"/>
      <c r="C109" s="236"/>
      <c r="D109" s="236"/>
      <c r="E109" s="235"/>
      <c r="F109" s="235"/>
      <c r="G109" s="53"/>
      <c r="H109" s="53"/>
      <c r="I109" s="53"/>
    </row>
    <row r="110" spans="2:9" x14ac:dyDescent="0.25">
      <c r="B110" s="236"/>
      <c r="C110" s="236"/>
      <c r="D110" s="236"/>
      <c r="E110" s="235"/>
      <c r="F110" s="235"/>
      <c r="G110" s="53"/>
      <c r="H110" s="53"/>
      <c r="I110" s="53"/>
    </row>
    <row r="111" spans="2:9" x14ac:dyDescent="0.25">
      <c r="B111" s="236"/>
      <c r="C111" s="236"/>
      <c r="D111" s="236"/>
      <c r="E111" s="235"/>
      <c r="F111" s="235"/>
      <c r="G111" s="53"/>
      <c r="H111" s="53"/>
      <c r="I111" s="53"/>
    </row>
    <row r="112" spans="2:9" x14ac:dyDescent="0.25">
      <c r="B112" s="236"/>
      <c r="C112" s="236"/>
      <c r="D112" s="236"/>
      <c r="E112" s="235"/>
      <c r="F112" s="235"/>
      <c r="G112" s="53"/>
      <c r="H112" s="53"/>
      <c r="I112" s="53"/>
    </row>
    <row r="113" spans="2:9" x14ac:dyDescent="0.25">
      <c r="B113" s="236"/>
      <c r="C113" s="236"/>
      <c r="D113" s="236"/>
      <c r="E113" s="235"/>
      <c r="F113" s="235"/>
      <c r="G113" s="53"/>
      <c r="H113" s="53"/>
      <c r="I113" s="53"/>
    </row>
    <row r="114" spans="2:9" x14ac:dyDescent="0.25">
      <c r="B114" s="236"/>
      <c r="C114" s="236"/>
      <c r="D114" s="236"/>
      <c r="E114" s="235"/>
      <c r="F114" s="235"/>
      <c r="G114" s="53"/>
      <c r="H114" s="53"/>
      <c r="I114" s="53"/>
    </row>
    <row r="115" spans="2:9" x14ac:dyDescent="0.25">
      <c r="B115" s="236"/>
      <c r="C115" s="236"/>
      <c r="D115" s="236"/>
      <c r="E115" s="235"/>
      <c r="F115" s="235"/>
      <c r="G115" s="53"/>
      <c r="H115" s="53"/>
      <c r="I115" s="53"/>
    </row>
    <row r="116" spans="2:9" x14ac:dyDescent="0.25">
      <c r="G116" s="53"/>
      <c r="H116" s="53"/>
      <c r="I116" s="53"/>
    </row>
    <row r="117" spans="2:9" x14ac:dyDescent="0.25">
      <c r="B117" s="24" t="str">
        <f>IF($E$21&gt;=6,$C$21&amp;" "&amp;6,"")</f>
        <v/>
      </c>
      <c r="G117" s="53"/>
      <c r="H117" s="53"/>
      <c r="I117" s="53"/>
    </row>
    <row r="118" spans="2:9" x14ac:dyDescent="0.25">
      <c r="B118" s="240" t="s">
        <v>33</v>
      </c>
      <c r="C118" s="240"/>
      <c r="D118" s="240"/>
      <c r="E118" s="240" t="s">
        <v>44</v>
      </c>
      <c r="F118" s="240"/>
      <c r="G118" s="53"/>
      <c r="H118" s="53"/>
      <c r="I118" s="53"/>
    </row>
    <row r="119" spans="2:9" x14ac:dyDescent="0.25">
      <c r="B119" s="236"/>
      <c r="C119" s="236"/>
      <c r="D119" s="236"/>
      <c r="E119" s="235"/>
      <c r="F119" s="235"/>
      <c r="G119" s="53"/>
      <c r="H119" s="53"/>
      <c r="I119" s="53"/>
    </row>
    <row r="120" spans="2:9" x14ac:dyDescent="0.25">
      <c r="B120" s="236"/>
      <c r="C120" s="236"/>
      <c r="D120" s="236"/>
      <c r="E120" s="235"/>
      <c r="F120" s="235"/>
      <c r="G120" s="53"/>
      <c r="H120" s="53"/>
      <c r="I120" s="53"/>
    </row>
    <row r="121" spans="2:9" x14ac:dyDescent="0.25">
      <c r="B121" s="236"/>
      <c r="C121" s="236"/>
      <c r="D121" s="236"/>
      <c r="E121" s="235"/>
      <c r="F121" s="235"/>
      <c r="G121" s="53"/>
      <c r="H121" s="53"/>
      <c r="I121" s="53"/>
    </row>
    <row r="122" spans="2:9" x14ac:dyDescent="0.25">
      <c r="B122" s="236"/>
      <c r="C122" s="236"/>
      <c r="D122" s="236"/>
      <c r="E122" s="235"/>
      <c r="F122" s="235"/>
      <c r="G122" s="53"/>
      <c r="H122" s="53"/>
      <c r="I122" s="53"/>
    </row>
    <row r="123" spans="2:9" x14ac:dyDescent="0.25">
      <c r="B123" s="236"/>
      <c r="C123" s="236"/>
      <c r="D123" s="236"/>
      <c r="E123" s="235"/>
      <c r="F123" s="235"/>
      <c r="G123" s="53"/>
      <c r="H123" s="53"/>
      <c r="I123" s="53"/>
    </row>
    <row r="124" spans="2:9" x14ac:dyDescent="0.25">
      <c r="B124" s="236"/>
      <c r="C124" s="236"/>
      <c r="D124" s="236"/>
      <c r="E124" s="235"/>
      <c r="F124" s="235"/>
      <c r="G124" s="53"/>
      <c r="H124" s="53"/>
      <c r="I124" s="53"/>
    </row>
    <row r="125" spans="2:9" x14ac:dyDescent="0.25">
      <c r="B125" s="236"/>
      <c r="C125" s="236"/>
      <c r="D125" s="236"/>
      <c r="E125" s="235"/>
      <c r="F125" s="235"/>
      <c r="G125" s="53"/>
      <c r="H125" s="53"/>
      <c r="I125" s="53"/>
    </row>
    <row r="126" spans="2:9" x14ac:dyDescent="0.25">
      <c r="B126" s="236"/>
      <c r="C126" s="236"/>
      <c r="D126" s="236"/>
      <c r="E126" s="235"/>
      <c r="F126" s="235"/>
      <c r="G126" s="53"/>
      <c r="H126" s="53"/>
      <c r="I126" s="53"/>
    </row>
    <row r="127" spans="2:9" x14ac:dyDescent="0.25">
      <c r="B127" s="236"/>
      <c r="C127" s="236"/>
      <c r="D127" s="236"/>
      <c r="E127" s="235"/>
      <c r="F127" s="235"/>
      <c r="G127" s="53"/>
      <c r="H127" s="53"/>
      <c r="I127" s="53"/>
    </row>
    <row r="128" spans="2:9" x14ac:dyDescent="0.25">
      <c r="B128" s="236"/>
      <c r="C128" s="236"/>
      <c r="D128" s="236"/>
      <c r="E128" s="235"/>
      <c r="F128" s="235"/>
      <c r="G128" s="53"/>
      <c r="H128" s="53"/>
      <c r="I128" s="53"/>
    </row>
    <row r="129" spans="2:9" x14ac:dyDescent="0.25">
      <c r="B129" s="236"/>
      <c r="C129" s="236"/>
      <c r="D129" s="236"/>
      <c r="E129" s="235"/>
      <c r="F129" s="235"/>
      <c r="G129" s="53"/>
      <c r="H129" s="53"/>
      <c r="I129" s="53"/>
    </row>
    <row r="130" spans="2:9" x14ac:dyDescent="0.25">
      <c r="B130" s="236"/>
      <c r="C130" s="236"/>
      <c r="D130" s="236"/>
      <c r="E130" s="235"/>
      <c r="F130" s="235"/>
      <c r="G130" s="53"/>
      <c r="H130" s="53"/>
      <c r="I130" s="53"/>
    </row>
    <row r="131" spans="2:9" x14ac:dyDescent="0.25">
      <c r="B131" s="236"/>
      <c r="C131" s="236"/>
      <c r="D131" s="236"/>
      <c r="E131" s="235"/>
      <c r="F131" s="235"/>
      <c r="G131" s="53"/>
      <c r="H131" s="53"/>
      <c r="I131" s="53"/>
    </row>
    <row r="132" spans="2:9" x14ac:dyDescent="0.25">
      <c r="B132" s="236"/>
      <c r="C132" s="236"/>
      <c r="D132" s="236"/>
      <c r="E132" s="235"/>
      <c r="F132" s="235"/>
      <c r="G132" s="53"/>
      <c r="H132" s="53"/>
      <c r="I132" s="53"/>
    </row>
    <row r="133" spans="2:9" x14ac:dyDescent="0.25">
      <c r="G133" s="53"/>
    </row>
    <row r="134" spans="2:9" x14ac:dyDescent="0.25">
      <c r="G134" s="53"/>
    </row>
    <row r="135" spans="2:9" x14ac:dyDescent="0.25">
      <c r="G135" s="53"/>
    </row>
    <row r="136" spans="2:9" x14ac:dyDescent="0.25">
      <c r="G136" s="53"/>
    </row>
    <row r="137" spans="2:9" x14ac:dyDescent="0.25">
      <c r="G137" s="53"/>
    </row>
    <row r="138" spans="2:9" x14ac:dyDescent="0.25">
      <c r="G138" s="53"/>
    </row>
    <row r="139" spans="2:9" x14ac:dyDescent="0.25">
      <c r="G139" s="53"/>
    </row>
    <row r="140" spans="2:9" x14ac:dyDescent="0.25">
      <c r="G140" s="53"/>
    </row>
    <row r="141" spans="2:9" x14ac:dyDescent="0.25">
      <c r="G141" s="53"/>
    </row>
    <row r="142" spans="2:9" x14ac:dyDescent="0.25">
      <c r="G142" s="53"/>
    </row>
    <row r="143" spans="2:9" x14ac:dyDescent="0.25">
      <c r="G143" s="53"/>
    </row>
    <row r="144" spans="2:9" x14ac:dyDescent="0.25">
      <c r="G144" s="53"/>
    </row>
    <row r="145" spans="7:7" x14ac:dyDescent="0.25">
      <c r="G145" s="53"/>
    </row>
    <row r="146" spans="7:7" x14ac:dyDescent="0.25">
      <c r="G146" s="53"/>
    </row>
    <row r="147" spans="7:7" x14ac:dyDescent="0.25">
      <c r="G147" s="53"/>
    </row>
    <row r="148" spans="7:7" x14ac:dyDescent="0.25">
      <c r="G148" s="53"/>
    </row>
    <row r="149" spans="7:7" x14ac:dyDescent="0.25">
      <c r="G149" s="53"/>
    </row>
    <row r="150" spans="7:7" x14ac:dyDescent="0.25">
      <c r="G150" s="53"/>
    </row>
    <row r="151" spans="7:7" x14ac:dyDescent="0.25">
      <c r="G151" s="53"/>
    </row>
    <row r="152" spans="7:7" x14ac:dyDescent="0.25">
      <c r="G152" s="53"/>
    </row>
    <row r="153" spans="7:7" x14ac:dyDescent="0.25">
      <c r="G153" s="53"/>
    </row>
    <row r="154" spans="7:7" x14ac:dyDescent="0.25">
      <c r="G154" s="53"/>
    </row>
    <row r="155" spans="7:7" x14ac:dyDescent="0.25">
      <c r="G155" s="53"/>
    </row>
    <row r="156" spans="7:7" x14ac:dyDescent="0.25">
      <c r="G156" s="53"/>
    </row>
    <row r="157" spans="7:7" x14ac:dyDescent="0.25">
      <c r="G157" s="53"/>
    </row>
  </sheetData>
  <sheetProtection algorithmName="SHA-512" hashValue="grPeH3p+HkprYSC/8R7e58jWB8sYrd0mroT6QZ/hVONVyy5SVq5qZVphRsPNEA6DC2flasUWl7Gpwq5m0G34uw==" saltValue="d0Pd/0D1eNKGncSo5d0E0w==" spinCount="100000" sheet="1"/>
  <mergeCells count="200">
    <mergeCell ref="D2:I2"/>
    <mergeCell ref="L24:O24"/>
    <mergeCell ref="L25:O25"/>
    <mergeCell ref="L26:O26"/>
    <mergeCell ref="L27:O27"/>
    <mergeCell ref="L28:O28"/>
    <mergeCell ref="L21:O21"/>
    <mergeCell ref="C23:D23"/>
    <mergeCell ref="C24:D24"/>
    <mergeCell ref="C25:D25"/>
    <mergeCell ref="C26:D26"/>
    <mergeCell ref="C27:D27"/>
    <mergeCell ref="C28:D28"/>
    <mergeCell ref="C15:O15"/>
    <mergeCell ref="C13:O13"/>
    <mergeCell ref="C17:F17"/>
    <mergeCell ref="C19:F19"/>
    <mergeCell ref="L19:O19"/>
    <mergeCell ref="L23:O23"/>
    <mergeCell ref="B130:D130"/>
    <mergeCell ref="E130:F130"/>
    <mergeCell ref="B131:D131"/>
    <mergeCell ref="E131:F131"/>
    <mergeCell ref="B132:D132"/>
    <mergeCell ref="E132:F132"/>
    <mergeCell ref="B127:D127"/>
    <mergeCell ref="E127:F127"/>
    <mergeCell ref="B128:D128"/>
    <mergeCell ref="E128:F128"/>
    <mergeCell ref="B129:D129"/>
    <mergeCell ref="E129:F129"/>
    <mergeCell ref="B124:D124"/>
    <mergeCell ref="E124:F124"/>
    <mergeCell ref="B125:D125"/>
    <mergeCell ref="E125:F125"/>
    <mergeCell ref="B126:D126"/>
    <mergeCell ref="E126:F126"/>
    <mergeCell ref="B121:D121"/>
    <mergeCell ref="E121:F121"/>
    <mergeCell ref="B122:D122"/>
    <mergeCell ref="E122:F122"/>
    <mergeCell ref="B123:D123"/>
    <mergeCell ref="E123:F123"/>
    <mergeCell ref="B118:D118"/>
    <mergeCell ref="E118:F118"/>
    <mergeCell ref="B119:D119"/>
    <mergeCell ref="E119:F119"/>
    <mergeCell ref="B120:D120"/>
    <mergeCell ref="E120:F120"/>
    <mergeCell ref="B113:D113"/>
    <mergeCell ref="E113:F113"/>
    <mergeCell ref="B114:D114"/>
    <mergeCell ref="E114:F114"/>
    <mergeCell ref="B115:D115"/>
    <mergeCell ref="E115:F115"/>
    <mergeCell ref="B110:D110"/>
    <mergeCell ref="E110:F110"/>
    <mergeCell ref="B111:D111"/>
    <mergeCell ref="E111:F111"/>
    <mergeCell ref="B112:D112"/>
    <mergeCell ref="E112:F112"/>
    <mergeCell ref="B107:D107"/>
    <mergeCell ref="E107:F107"/>
    <mergeCell ref="B108:D108"/>
    <mergeCell ref="E108:F108"/>
    <mergeCell ref="B109:D109"/>
    <mergeCell ref="E109:F109"/>
    <mergeCell ref="B104:D104"/>
    <mergeCell ref="E104:F104"/>
    <mergeCell ref="B105:D105"/>
    <mergeCell ref="E105:F105"/>
    <mergeCell ref="B106:D106"/>
    <mergeCell ref="E106:F106"/>
    <mergeCell ref="B101:D101"/>
    <mergeCell ref="E101:F101"/>
    <mergeCell ref="B102:D102"/>
    <mergeCell ref="E102:F102"/>
    <mergeCell ref="B103:D103"/>
    <mergeCell ref="E103:F103"/>
    <mergeCell ref="B96:D96"/>
    <mergeCell ref="E96:F96"/>
    <mergeCell ref="B97:D97"/>
    <mergeCell ref="E97:F97"/>
    <mergeCell ref="B98:D98"/>
    <mergeCell ref="E98:F98"/>
    <mergeCell ref="B93:D93"/>
    <mergeCell ref="E93:F93"/>
    <mergeCell ref="B94:D94"/>
    <mergeCell ref="E94:F94"/>
    <mergeCell ref="B95:D95"/>
    <mergeCell ref="E95:F95"/>
    <mergeCell ref="B90:D90"/>
    <mergeCell ref="E90:F90"/>
    <mergeCell ref="B91:D91"/>
    <mergeCell ref="E91:F91"/>
    <mergeCell ref="B92:D92"/>
    <mergeCell ref="E92:F92"/>
    <mergeCell ref="B87:D87"/>
    <mergeCell ref="E87:F87"/>
    <mergeCell ref="B88:D88"/>
    <mergeCell ref="E88:F88"/>
    <mergeCell ref="B89:D89"/>
    <mergeCell ref="E89:F89"/>
    <mergeCell ref="B84:D84"/>
    <mergeCell ref="E84:F84"/>
    <mergeCell ref="B85:D85"/>
    <mergeCell ref="E85:F85"/>
    <mergeCell ref="B86:D86"/>
    <mergeCell ref="E86:F86"/>
    <mergeCell ref="B79:D79"/>
    <mergeCell ref="E79:F79"/>
    <mergeCell ref="B80:D80"/>
    <mergeCell ref="E80:F80"/>
    <mergeCell ref="B81:D81"/>
    <mergeCell ref="E81:F81"/>
    <mergeCell ref="B76:D76"/>
    <mergeCell ref="E76:F76"/>
    <mergeCell ref="B77:D77"/>
    <mergeCell ref="E77:F77"/>
    <mergeCell ref="B78:D78"/>
    <mergeCell ref="E78:F78"/>
    <mergeCell ref="B73:D73"/>
    <mergeCell ref="E73:F73"/>
    <mergeCell ref="B74:D74"/>
    <mergeCell ref="E74:F74"/>
    <mergeCell ref="B75:D75"/>
    <mergeCell ref="E75:F75"/>
    <mergeCell ref="B70:D70"/>
    <mergeCell ref="E70:F70"/>
    <mergeCell ref="B71:D71"/>
    <mergeCell ref="E71:F71"/>
    <mergeCell ref="B72:D72"/>
    <mergeCell ref="E72:F72"/>
    <mergeCell ref="B67:D67"/>
    <mergeCell ref="E67:F67"/>
    <mergeCell ref="B68:D68"/>
    <mergeCell ref="E68:F68"/>
    <mergeCell ref="B69:D69"/>
    <mergeCell ref="E69:F69"/>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B52:D52"/>
    <mergeCell ref="E52:F52"/>
    <mergeCell ref="B47:D47"/>
    <mergeCell ref="E47:F47"/>
    <mergeCell ref="B46:D46"/>
    <mergeCell ref="E46:F46"/>
    <mergeCell ref="B43:D43"/>
    <mergeCell ref="E43:F43"/>
    <mergeCell ref="B38:D38"/>
    <mergeCell ref="E38:F38"/>
    <mergeCell ref="B39:D39"/>
    <mergeCell ref="E39:F39"/>
    <mergeCell ref="B40:D40"/>
    <mergeCell ref="E40:F40"/>
    <mergeCell ref="B44:D44"/>
    <mergeCell ref="E44:F44"/>
    <mergeCell ref="B45:D45"/>
    <mergeCell ref="E45:F45"/>
    <mergeCell ref="B41:D41"/>
    <mergeCell ref="E41:F41"/>
    <mergeCell ref="B42:D42"/>
    <mergeCell ref="E42:F42"/>
    <mergeCell ref="E35:F35"/>
    <mergeCell ref="B36:D36"/>
    <mergeCell ref="E36:F36"/>
    <mergeCell ref="B37:D37"/>
    <mergeCell ref="C30:F30"/>
    <mergeCell ref="B50:D50"/>
    <mergeCell ref="E50:F50"/>
    <mergeCell ref="B51:D51"/>
    <mergeCell ref="E51:F51"/>
    <mergeCell ref="E33:F33"/>
    <mergeCell ref="B33:D33"/>
    <mergeCell ref="B34:D34"/>
    <mergeCell ref="E34:F34"/>
    <mergeCell ref="B35:D35"/>
    <mergeCell ref="E37:F37"/>
  </mergeCells>
  <dataValidations disablePrompts="1" count="5">
    <dataValidation type="list" allowBlank="1" showInputMessage="1" showErrorMessage="1" sqref="C21">
      <formula1>$Q$4:$Q$5</formula1>
    </dataValidation>
    <dataValidation type="list" allowBlank="1" showInputMessage="1" showErrorMessage="1" sqref="E21">
      <formula1>$R$4:$R$9</formula1>
    </dataValidation>
    <dataValidation type="list" allowBlank="1" showInputMessage="1" showErrorMessage="1" sqref="L19:O19">
      <formula1>$T$4:$T$9</formula1>
    </dataValidation>
    <dataValidation type="list" allowBlank="1" showInputMessage="1" showErrorMessage="1" sqref="C19">
      <formula1>$U$4:$U$8</formula1>
    </dataValidation>
    <dataValidation type="list" allowBlank="1" showInputMessage="1" showErrorMessage="1" sqref="L23:O28">
      <formula1>$V$4:$V$9</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B2:U65"/>
  <sheetViews>
    <sheetView showGridLines="0" zoomScale="89" workbookViewId="0">
      <selection activeCell="C16" sqref="C16"/>
    </sheetView>
  </sheetViews>
  <sheetFormatPr baseColWidth="10" defaultRowHeight="15" x14ac:dyDescent="0.25"/>
  <cols>
    <col min="2" max="2" width="62.42578125" style="27" customWidth="1"/>
    <col min="3" max="3" width="33.85546875" style="27" customWidth="1"/>
    <col min="5" max="5" width="25.85546875" customWidth="1"/>
    <col min="6" max="6" width="34.42578125" customWidth="1"/>
    <col min="7" max="7" width="30.140625" customWidth="1"/>
    <col min="8" max="8" width="16.42578125" customWidth="1"/>
    <col min="12" max="12" width="36.42578125" customWidth="1"/>
  </cols>
  <sheetData>
    <row r="2" spans="2:21" ht="20.25" customHeight="1" x14ac:dyDescent="0.25"/>
    <row r="3" spans="2:21" x14ac:dyDescent="0.25">
      <c r="B3" s="249" t="s">
        <v>573</v>
      </c>
      <c r="C3" s="249"/>
      <c r="D3" s="249"/>
    </row>
    <row r="4" spans="2:21" hidden="1" x14ac:dyDescent="0.25"/>
    <row r="5" spans="2:21" hidden="1" x14ac:dyDescent="0.25">
      <c r="E5" t="s">
        <v>327</v>
      </c>
      <c r="F5" t="s">
        <v>189</v>
      </c>
      <c r="G5" t="s">
        <v>332</v>
      </c>
      <c r="H5" t="s">
        <v>193</v>
      </c>
      <c r="I5" t="s">
        <v>198</v>
      </c>
      <c r="J5" t="s">
        <v>203</v>
      </c>
      <c r="K5" t="s">
        <v>206</v>
      </c>
      <c r="L5" t="s">
        <v>208</v>
      </c>
      <c r="M5" t="s">
        <v>211</v>
      </c>
      <c r="N5" t="s">
        <v>216</v>
      </c>
      <c r="O5" t="s">
        <v>220</v>
      </c>
      <c r="P5" t="s">
        <v>226</v>
      </c>
      <c r="Q5" t="s">
        <v>230</v>
      </c>
      <c r="R5" t="s">
        <v>234</v>
      </c>
      <c r="S5" t="s">
        <v>238</v>
      </c>
      <c r="T5" t="s">
        <v>241</v>
      </c>
      <c r="U5" t="s">
        <v>243</v>
      </c>
    </row>
    <row r="6" spans="2:21" hidden="1" x14ac:dyDescent="0.25">
      <c r="E6" t="s">
        <v>328</v>
      </c>
      <c r="F6" t="s">
        <v>190</v>
      </c>
      <c r="G6" t="s">
        <v>428</v>
      </c>
      <c r="H6" t="s">
        <v>194</v>
      </c>
      <c r="I6" t="s">
        <v>199</v>
      </c>
      <c r="J6" t="s">
        <v>202</v>
      </c>
      <c r="K6" t="s">
        <v>309</v>
      </c>
      <c r="L6" t="s">
        <v>207</v>
      </c>
      <c r="M6" t="s">
        <v>212</v>
      </c>
      <c r="N6" t="s">
        <v>217</v>
      </c>
      <c r="O6" t="s">
        <v>221</v>
      </c>
      <c r="P6" t="s">
        <v>227</v>
      </c>
      <c r="Q6" t="s">
        <v>231</v>
      </c>
      <c r="R6" t="s">
        <v>235</v>
      </c>
      <c r="S6" t="s">
        <v>239</v>
      </c>
      <c r="T6" t="s">
        <v>242</v>
      </c>
      <c r="U6" t="s">
        <v>244</v>
      </c>
    </row>
    <row r="7" spans="2:21" hidden="1" x14ac:dyDescent="0.25">
      <c r="E7" t="s">
        <v>329</v>
      </c>
      <c r="F7" t="s">
        <v>576</v>
      </c>
      <c r="G7" t="s">
        <v>333</v>
      </c>
      <c r="H7" t="s">
        <v>196</v>
      </c>
      <c r="I7" t="s">
        <v>200</v>
      </c>
      <c r="J7" t="s">
        <v>204</v>
      </c>
      <c r="L7" t="s">
        <v>209</v>
      </c>
      <c r="M7" t="s">
        <v>213</v>
      </c>
      <c r="N7" t="s">
        <v>218</v>
      </c>
      <c r="O7" t="s">
        <v>222</v>
      </c>
      <c r="P7" t="s">
        <v>224</v>
      </c>
      <c r="Q7" t="s">
        <v>232</v>
      </c>
      <c r="R7" t="s">
        <v>236</v>
      </c>
      <c r="S7" t="s">
        <v>240</v>
      </c>
    </row>
    <row r="8" spans="2:21" hidden="1" x14ac:dyDescent="0.25">
      <c r="E8" t="s">
        <v>330</v>
      </c>
      <c r="F8" t="s">
        <v>192</v>
      </c>
      <c r="G8" t="s">
        <v>334</v>
      </c>
      <c r="H8" t="s">
        <v>195</v>
      </c>
      <c r="I8" t="s">
        <v>201</v>
      </c>
      <c r="J8" t="s">
        <v>205</v>
      </c>
      <c r="L8" t="s">
        <v>210</v>
      </c>
      <c r="M8" t="s">
        <v>214</v>
      </c>
      <c r="N8" t="s">
        <v>219</v>
      </c>
      <c r="O8" t="s">
        <v>223</v>
      </c>
      <c r="P8" t="s">
        <v>228</v>
      </c>
      <c r="Q8" t="s">
        <v>233</v>
      </c>
      <c r="R8" t="s">
        <v>237</v>
      </c>
    </row>
    <row r="9" spans="2:21" hidden="1" x14ac:dyDescent="0.25">
      <c r="E9" t="s">
        <v>331</v>
      </c>
      <c r="G9" t="s">
        <v>335</v>
      </c>
      <c r="M9" t="s">
        <v>215</v>
      </c>
      <c r="P9" t="s">
        <v>225</v>
      </c>
    </row>
    <row r="12" spans="2:21" x14ac:dyDescent="0.25">
      <c r="B12" s="31" t="s">
        <v>45</v>
      </c>
    </row>
    <row r="14" spans="2:21" ht="30" x14ac:dyDescent="0.25">
      <c r="B14" s="37" t="s">
        <v>46</v>
      </c>
      <c r="C14" s="125" t="s">
        <v>329</v>
      </c>
    </row>
    <row r="15" spans="2:21" x14ac:dyDescent="0.25">
      <c r="B15" s="26"/>
    </row>
    <row r="16" spans="2:21" ht="75" x14ac:dyDescent="0.25">
      <c r="B16" s="39" t="s">
        <v>191</v>
      </c>
      <c r="C16" s="125" t="s">
        <v>190</v>
      </c>
    </row>
    <row r="17" spans="2:3" x14ac:dyDescent="0.25">
      <c r="B17" s="26"/>
    </row>
    <row r="18" spans="2:3" ht="45" x14ac:dyDescent="0.25">
      <c r="B18" s="39" t="s">
        <v>47</v>
      </c>
      <c r="C18" s="125" t="s">
        <v>332</v>
      </c>
    </row>
    <row r="19" spans="2:3" x14ac:dyDescent="0.25">
      <c r="B19" s="26"/>
    </row>
    <row r="20" spans="2:3" x14ac:dyDescent="0.25">
      <c r="B20" s="26"/>
    </row>
    <row r="21" spans="2:3" x14ac:dyDescent="0.25">
      <c r="B21" s="32" t="s">
        <v>48</v>
      </c>
    </row>
    <row r="22" spans="2:3" x14ac:dyDescent="0.25">
      <c r="B22" s="26"/>
    </row>
    <row r="23" spans="2:3" ht="30" x14ac:dyDescent="0.25">
      <c r="B23" s="39" t="s">
        <v>49</v>
      </c>
      <c r="C23" s="125" t="s">
        <v>330</v>
      </c>
    </row>
    <row r="24" spans="2:3" x14ac:dyDescent="0.25">
      <c r="B24" s="26"/>
    </row>
    <row r="25" spans="2:3" ht="45" x14ac:dyDescent="0.25">
      <c r="B25" s="39" t="s">
        <v>50</v>
      </c>
      <c r="C25" s="125" t="s">
        <v>196</v>
      </c>
    </row>
    <row r="26" spans="2:3" x14ac:dyDescent="0.25">
      <c r="B26" s="26"/>
    </row>
    <row r="27" spans="2:3" ht="30" x14ac:dyDescent="0.25">
      <c r="B27" s="39" t="s">
        <v>51</v>
      </c>
      <c r="C27" s="125" t="s">
        <v>330</v>
      </c>
    </row>
    <row r="28" spans="2:3" x14ac:dyDescent="0.25">
      <c r="B28" s="26"/>
    </row>
    <row r="29" spans="2:3" ht="45" x14ac:dyDescent="0.25">
      <c r="B29" s="39" t="s">
        <v>197</v>
      </c>
      <c r="C29" s="125" t="s">
        <v>200</v>
      </c>
    </row>
    <row r="30" spans="2:3" x14ac:dyDescent="0.25">
      <c r="B30" s="26"/>
    </row>
    <row r="31" spans="2:3" ht="30" x14ac:dyDescent="0.25">
      <c r="B31" s="39" t="s">
        <v>52</v>
      </c>
      <c r="C31" s="125" t="s">
        <v>205</v>
      </c>
    </row>
    <row r="32" spans="2:3" x14ac:dyDescent="0.25">
      <c r="B32" s="26"/>
    </row>
    <row r="33" spans="2:3" ht="45" x14ac:dyDescent="0.25">
      <c r="B33" s="39" t="s">
        <v>53</v>
      </c>
      <c r="C33" s="125" t="s">
        <v>309</v>
      </c>
    </row>
    <row r="34" spans="2:3" x14ac:dyDescent="0.25">
      <c r="B34" s="26"/>
    </row>
    <row r="35" spans="2:3" x14ac:dyDescent="0.25">
      <c r="B35" s="26"/>
    </row>
    <row r="36" spans="2:3" x14ac:dyDescent="0.25">
      <c r="B36" s="32" t="s">
        <v>54</v>
      </c>
    </row>
    <row r="37" spans="2:3" x14ac:dyDescent="0.25">
      <c r="B37" s="26"/>
    </row>
    <row r="38" spans="2:3" ht="30" x14ac:dyDescent="0.25">
      <c r="B38" s="39" t="s">
        <v>55</v>
      </c>
      <c r="C38" s="125" t="s">
        <v>327</v>
      </c>
    </row>
    <row r="39" spans="2:3" x14ac:dyDescent="0.25">
      <c r="B39" s="26"/>
    </row>
    <row r="40" spans="2:3" ht="45" x14ac:dyDescent="0.25">
      <c r="B40" s="39" t="s">
        <v>56</v>
      </c>
      <c r="C40" s="125" t="s">
        <v>209</v>
      </c>
    </row>
    <row r="41" spans="2:3" x14ac:dyDescent="0.25">
      <c r="B41" s="26"/>
    </row>
    <row r="42" spans="2:3" ht="60" x14ac:dyDescent="0.25">
      <c r="B42" s="39" t="s">
        <v>57</v>
      </c>
      <c r="C42" s="125" t="s">
        <v>211</v>
      </c>
    </row>
    <row r="43" spans="2:3" x14ac:dyDescent="0.25">
      <c r="B43" s="26"/>
    </row>
    <row r="44" spans="2:3" ht="45" x14ac:dyDescent="0.25">
      <c r="B44" s="39" t="s">
        <v>58</v>
      </c>
      <c r="C44" s="125" t="s">
        <v>217</v>
      </c>
    </row>
    <row r="45" spans="2:3" x14ac:dyDescent="0.25">
      <c r="B45" s="26"/>
    </row>
    <row r="46" spans="2:3" x14ac:dyDescent="0.25">
      <c r="B46" s="26"/>
    </row>
    <row r="47" spans="2:3" x14ac:dyDescent="0.25">
      <c r="B47" s="32" t="s">
        <v>59</v>
      </c>
    </row>
    <row r="48" spans="2:3" x14ac:dyDescent="0.25">
      <c r="B48" s="26"/>
    </row>
    <row r="49" spans="2:3" ht="30" x14ac:dyDescent="0.25">
      <c r="B49" s="39" t="s">
        <v>60</v>
      </c>
      <c r="C49" s="125" t="s">
        <v>330</v>
      </c>
    </row>
    <row r="50" spans="2:3" x14ac:dyDescent="0.25">
      <c r="B50" s="26"/>
    </row>
    <row r="51" spans="2:3" ht="30" x14ac:dyDescent="0.25">
      <c r="B51" s="39" t="s">
        <v>61</v>
      </c>
      <c r="C51" s="125" t="s">
        <v>223</v>
      </c>
    </row>
    <row r="52" spans="2:3" x14ac:dyDescent="0.25">
      <c r="B52" s="26"/>
    </row>
    <row r="53" spans="2:3" ht="45" x14ac:dyDescent="0.25">
      <c r="B53" s="39" t="s">
        <v>62</v>
      </c>
      <c r="C53" s="125" t="s">
        <v>226</v>
      </c>
    </row>
    <row r="54" spans="2:3" x14ac:dyDescent="0.25">
      <c r="B54" s="26"/>
    </row>
    <row r="55" spans="2:3" ht="60" x14ac:dyDescent="0.25">
      <c r="B55" s="39" t="s">
        <v>229</v>
      </c>
      <c r="C55" s="125" t="s">
        <v>231</v>
      </c>
    </row>
    <row r="56" spans="2:3" x14ac:dyDescent="0.25">
      <c r="B56" s="26"/>
    </row>
    <row r="57" spans="2:3" x14ac:dyDescent="0.25">
      <c r="B57" s="26"/>
    </row>
    <row r="58" spans="2:3" x14ac:dyDescent="0.25">
      <c r="B58" s="26"/>
    </row>
    <row r="59" spans="2:3" ht="30" x14ac:dyDescent="0.25">
      <c r="B59" s="39" t="s">
        <v>65</v>
      </c>
      <c r="C59" s="125" t="s">
        <v>235</v>
      </c>
    </row>
    <row r="60" spans="2:3" x14ac:dyDescent="0.25">
      <c r="B60" s="26"/>
    </row>
    <row r="61" spans="2:3" ht="30" x14ac:dyDescent="0.25">
      <c r="B61" s="39" t="s">
        <v>66</v>
      </c>
      <c r="C61" s="125" t="s">
        <v>238</v>
      </c>
    </row>
    <row r="62" spans="2:3" x14ac:dyDescent="0.25">
      <c r="B62" s="26"/>
    </row>
    <row r="63" spans="2:3" ht="30" x14ac:dyDescent="0.25">
      <c r="B63" s="39" t="s">
        <v>64</v>
      </c>
      <c r="C63" s="125" t="s">
        <v>242</v>
      </c>
    </row>
    <row r="64" spans="2:3" x14ac:dyDescent="0.25">
      <c r="B64" s="26"/>
    </row>
    <row r="65" spans="2:3" ht="30" x14ac:dyDescent="0.25">
      <c r="B65" s="39" t="s">
        <v>63</v>
      </c>
      <c r="C65" s="125" t="s">
        <v>243</v>
      </c>
    </row>
  </sheetData>
  <sheetProtection algorithmName="SHA-512" hashValue="TE9Vh6oTsA4OD0uxmvtPspUJfABG7eYuxuDXtsCWTOcemJHYmfRr71ulhfhMVLzhMzD2g4i9HEitengxHgGvcw==" saltValue="g9cw1Cq8LvzV067tMlz1WQ==" spinCount="100000" sheet="1"/>
  <mergeCells count="1">
    <mergeCell ref="B3:D3"/>
  </mergeCells>
  <dataValidations count="17">
    <dataValidation type="list" allowBlank="1" showInputMessage="1" showErrorMessage="1" sqref="C14 C23 C27 C38 C49">
      <formula1>$E$5:$E$9</formula1>
    </dataValidation>
    <dataValidation type="list" allowBlank="1" showInputMessage="1" showErrorMessage="1" sqref="C16">
      <formula1>$F$5:$F$8</formula1>
    </dataValidation>
    <dataValidation type="list" allowBlank="1" showInputMessage="1" showErrorMessage="1" sqref="C18">
      <formula1>$G$5:$G$9</formula1>
    </dataValidation>
    <dataValidation type="list" allowBlank="1" showInputMessage="1" showErrorMessage="1" sqref="C25">
      <formula1>$H$5:$H$8</formula1>
    </dataValidation>
    <dataValidation type="list" allowBlank="1" showInputMessage="1" showErrorMessage="1" sqref="C29">
      <formula1>$I$5:$I$8</formula1>
    </dataValidation>
    <dataValidation type="list" allowBlank="1" showInputMessage="1" showErrorMessage="1" sqref="C31">
      <formula1>$J$5:$J$8</formula1>
    </dataValidation>
    <dataValidation type="list" allowBlank="1" showInputMessage="1" showErrorMessage="1" sqref="C33">
      <formula1>$K$5:$K$6</formula1>
    </dataValidation>
    <dataValidation type="list" allowBlank="1" showInputMessage="1" showErrorMessage="1" sqref="C40">
      <formula1>$L$5:$L$8</formula1>
    </dataValidation>
    <dataValidation type="list" allowBlank="1" showInputMessage="1" showErrorMessage="1" sqref="C42">
      <formula1>$M$5:$M$9</formula1>
    </dataValidation>
    <dataValidation type="list" allowBlank="1" showInputMessage="1" showErrorMessage="1" sqref="C44">
      <formula1>$N$5:$N$8</formula1>
    </dataValidation>
    <dataValidation type="list" allowBlank="1" showInputMessage="1" showErrorMessage="1" sqref="C51">
      <formula1>$O$5:$O$8</formula1>
    </dataValidation>
    <dataValidation type="list" allowBlank="1" showInputMessage="1" showErrorMessage="1" sqref="C53">
      <formula1>$P$5:$P$9</formula1>
    </dataValidation>
    <dataValidation type="list" allowBlank="1" showInputMessage="1" showErrorMessage="1" sqref="C55">
      <formula1>$Q$5:$Q$8</formula1>
    </dataValidation>
    <dataValidation type="list" allowBlank="1" showInputMessage="1" showErrorMessage="1" sqref="C59">
      <formula1>$R$5:$R$8</formula1>
    </dataValidation>
    <dataValidation type="list" allowBlank="1" showInputMessage="1" showErrorMessage="1" sqref="C61">
      <formula1>$S$5:$S$7</formula1>
    </dataValidation>
    <dataValidation type="list" allowBlank="1" showInputMessage="1" showErrorMessage="1" sqref="C63">
      <formula1>$T$5:$T$6</formula1>
    </dataValidation>
    <dataValidation type="list" allowBlank="1" showInputMessage="1" showErrorMessage="1" sqref="C65">
      <formula1>$U$5:$U$6</formula1>
    </dataValidation>
  </dataValidations>
  <pageMargins left="0.70866141732283472" right="0.70866141732283472" top="0.74803149606299213" bottom="0.74803149606299213" header="0.31496062992125984" footer="0.31496062992125984"/>
  <pageSetup scale="76" fitToHeight="1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2:BE141"/>
  <sheetViews>
    <sheetView showGridLines="0" zoomScaleNormal="100" workbookViewId="0">
      <selection activeCell="C141" sqref="C141"/>
    </sheetView>
  </sheetViews>
  <sheetFormatPr baseColWidth="10" defaultRowHeight="15" x14ac:dyDescent="0.25"/>
  <cols>
    <col min="2" max="2" width="48.42578125" customWidth="1"/>
    <col min="3" max="3" width="41.140625" customWidth="1"/>
    <col min="4" max="4" width="15.28515625" customWidth="1"/>
    <col min="6" max="6" width="20.42578125" customWidth="1"/>
    <col min="7" max="7" width="35" customWidth="1"/>
    <col min="8" max="8" width="39.140625" customWidth="1"/>
    <col min="9" max="10" width="31.42578125" customWidth="1"/>
    <col min="11" max="11" width="37.42578125" customWidth="1"/>
    <col min="12" max="12" width="38.140625" customWidth="1"/>
    <col min="13" max="13" width="43.42578125" customWidth="1"/>
    <col min="14" max="14" width="33.140625" customWidth="1"/>
    <col min="15" max="15" width="29.85546875" customWidth="1"/>
    <col min="16" max="16" width="40.42578125" customWidth="1"/>
    <col min="17" max="17" width="38" customWidth="1"/>
    <col min="18" max="18" width="35.42578125" customWidth="1"/>
    <col min="19" max="19" width="40.28515625" customWidth="1"/>
    <col min="20" max="20" width="41" customWidth="1"/>
    <col min="21" max="21" width="47.28515625" customWidth="1"/>
    <col min="22" max="22" width="43.42578125" customWidth="1"/>
    <col min="23" max="23" width="34.42578125" customWidth="1"/>
    <col min="24" max="24" width="31.42578125" customWidth="1"/>
    <col min="25" max="25" width="30.42578125" customWidth="1"/>
    <col min="26" max="26" width="29.28515625" customWidth="1"/>
    <col min="27" max="27" width="32.140625" customWidth="1"/>
    <col min="28" max="28" width="35.42578125" customWidth="1"/>
    <col min="29" max="29" width="28.28515625" customWidth="1"/>
    <col min="30" max="30" width="27.42578125" customWidth="1"/>
    <col min="31" max="31" width="27.7109375" customWidth="1"/>
    <col min="32" max="32" width="31.140625" customWidth="1"/>
    <col min="33" max="33" width="34.42578125" customWidth="1"/>
    <col min="34" max="36" width="23.42578125" customWidth="1"/>
    <col min="37" max="41" width="27.85546875" customWidth="1"/>
    <col min="42" max="45" width="26.85546875" customWidth="1"/>
    <col min="46" max="46" width="29.42578125" customWidth="1"/>
    <col min="47" max="49" width="26" customWidth="1"/>
    <col min="50" max="50" width="28.85546875" customWidth="1"/>
    <col min="51" max="51" width="25.85546875" customWidth="1"/>
    <col min="52" max="52" width="23.85546875" customWidth="1"/>
    <col min="53" max="53" width="20.85546875" customWidth="1"/>
    <col min="54" max="54" width="23.42578125" customWidth="1"/>
    <col min="55" max="55" width="37.42578125" customWidth="1"/>
    <col min="56" max="56" width="20.140625" customWidth="1"/>
  </cols>
  <sheetData>
    <row r="2" spans="2:57" ht="18" customHeight="1" x14ac:dyDescent="0.25"/>
    <row r="3" spans="2:57" x14ac:dyDescent="0.25">
      <c r="B3" s="74" t="s">
        <v>574</v>
      </c>
      <c r="C3" s="74"/>
      <c r="D3" s="74" t="str">
        <f>IF('Datos Generales'!E21=1,"",BC6)</f>
        <v>Fase 1</v>
      </c>
    </row>
    <row r="5" spans="2:57" s="27" customFormat="1" x14ac:dyDescent="0.25"/>
    <row r="6" spans="2:57" s="27" customFormat="1" ht="90" hidden="1" x14ac:dyDescent="0.25">
      <c r="F6" s="27" t="s">
        <v>71</v>
      </c>
      <c r="G6" s="26" t="s">
        <v>77</v>
      </c>
      <c r="H6" s="26" t="s">
        <v>89</v>
      </c>
      <c r="I6" s="26" t="s">
        <v>84</v>
      </c>
      <c r="J6" s="26" t="s">
        <v>88</v>
      </c>
      <c r="K6" s="26" t="s">
        <v>94</v>
      </c>
      <c r="L6" s="26" t="s">
        <v>97</v>
      </c>
      <c r="M6" s="26" t="s">
        <v>310</v>
      </c>
      <c r="N6" s="26" t="s">
        <v>102</v>
      </c>
      <c r="O6" s="26" t="s">
        <v>104</v>
      </c>
      <c r="P6" s="26" t="s">
        <v>145</v>
      </c>
      <c r="Q6" s="26" t="s">
        <v>336</v>
      </c>
      <c r="R6" s="26" t="s">
        <v>148</v>
      </c>
      <c r="S6" s="26" t="s">
        <v>152</v>
      </c>
      <c r="T6" s="26" t="s">
        <v>339</v>
      </c>
      <c r="U6" s="26" t="s">
        <v>342</v>
      </c>
      <c r="V6" s="26" t="s">
        <v>156</v>
      </c>
      <c r="W6" s="26" t="s">
        <v>160</v>
      </c>
      <c r="X6" s="26" t="s">
        <v>163</v>
      </c>
      <c r="Y6" s="26" t="s">
        <v>344</v>
      </c>
      <c r="Z6" s="26" t="s">
        <v>166</v>
      </c>
      <c r="AA6" s="26" t="s">
        <v>169</v>
      </c>
      <c r="AB6" s="26" t="s">
        <v>345</v>
      </c>
      <c r="AC6" s="26" t="s">
        <v>350</v>
      </c>
      <c r="AD6" s="26" t="s">
        <v>355</v>
      </c>
      <c r="AE6" s="26" t="s">
        <v>360</v>
      </c>
      <c r="AF6" s="26" t="s">
        <v>365</v>
      </c>
      <c r="AG6" s="26" t="s">
        <v>370</v>
      </c>
      <c r="AH6" s="26" t="s">
        <v>373</v>
      </c>
      <c r="AI6" s="26" t="s">
        <v>377</v>
      </c>
      <c r="AJ6" s="26" t="s">
        <v>381</v>
      </c>
      <c r="AK6" s="26" t="s">
        <v>385</v>
      </c>
      <c r="AL6" s="26" t="s">
        <v>390</v>
      </c>
      <c r="AM6" s="26" t="s">
        <v>395</v>
      </c>
      <c r="AN6" s="26" t="s">
        <v>400</v>
      </c>
      <c r="AO6" s="26" t="s">
        <v>405</v>
      </c>
      <c r="AP6" s="26" t="s">
        <v>409</v>
      </c>
      <c r="AQ6" s="26" t="s">
        <v>413</v>
      </c>
      <c r="AR6" s="26" t="s">
        <v>416</v>
      </c>
      <c r="AS6" s="26" t="s">
        <v>420</v>
      </c>
      <c r="AT6" s="26" t="s">
        <v>178</v>
      </c>
      <c r="AU6" s="26" t="s">
        <v>304</v>
      </c>
      <c r="AV6" s="26" t="s">
        <v>424</v>
      </c>
      <c r="AW6" s="26" t="s">
        <v>178</v>
      </c>
      <c r="AX6" s="26" t="s">
        <v>183</v>
      </c>
      <c r="AY6" s="26" t="s">
        <v>185</v>
      </c>
      <c r="AZ6" s="26" t="s">
        <v>187</v>
      </c>
      <c r="BA6" s="26" t="s">
        <v>299</v>
      </c>
      <c r="BB6" t="s">
        <v>327</v>
      </c>
      <c r="BC6" s="27" t="str">
        <f>IF('Datos Generales'!C21='Descripcion Actividades'!BD6,BD6&amp;" "&amp;C11,BD7&amp;" "&amp;C11)</f>
        <v>Fase 1</v>
      </c>
      <c r="BD6" s="27" t="s">
        <v>68</v>
      </c>
      <c r="BE6" s="27">
        <v>1</v>
      </c>
    </row>
    <row r="7" spans="2:57" s="27" customFormat="1" ht="90" hidden="1" x14ac:dyDescent="0.25">
      <c r="F7" s="27" t="s">
        <v>72</v>
      </c>
      <c r="G7" s="26" t="s">
        <v>78</v>
      </c>
      <c r="H7" s="26" t="s">
        <v>90</v>
      </c>
      <c r="I7" s="26" t="s">
        <v>85</v>
      </c>
      <c r="J7" s="26" t="s">
        <v>87</v>
      </c>
      <c r="K7" s="26" t="s">
        <v>95</v>
      </c>
      <c r="L7" s="26" t="s">
        <v>98</v>
      </c>
      <c r="M7" s="26" t="s">
        <v>312</v>
      </c>
      <c r="N7" s="26" t="s">
        <v>311</v>
      </c>
      <c r="O7" s="26" t="s">
        <v>105</v>
      </c>
      <c r="P7" s="26" t="s">
        <v>144</v>
      </c>
      <c r="Q7" s="26" t="s">
        <v>337</v>
      </c>
      <c r="R7" s="26" t="s">
        <v>149</v>
      </c>
      <c r="S7" s="26" t="s">
        <v>155</v>
      </c>
      <c r="T7" s="26" t="s">
        <v>340</v>
      </c>
      <c r="U7" s="26" t="s">
        <v>340</v>
      </c>
      <c r="V7" s="26" t="s">
        <v>157</v>
      </c>
      <c r="W7" s="26" t="s">
        <v>161</v>
      </c>
      <c r="X7" s="26" t="s">
        <v>164</v>
      </c>
      <c r="Y7" s="26" t="s">
        <v>315</v>
      </c>
      <c r="Z7" s="26" t="s">
        <v>167</v>
      </c>
      <c r="AA7" s="26" t="s">
        <v>172</v>
      </c>
      <c r="AB7" s="26" t="s">
        <v>346</v>
      </c>
      <c r="AC7" s="26" t="s">
        <v>351</v>
      </c>
      <c r="AD7" s="26" t="s">
        <v>356</v>
      </c>
      <c r="AE7" s="26" t="s">
        <v>361</v>
      </c>
      <c r="AF7" s="26" t="s">
        <v>366</v>
      </c>
      <c r="AG7" s="26" t="s">
        <v>371</v>
      </c>
      <c r="AH7" s="26" t="s">
        <v>374</v>
      </c>
      <c r="AI7" s="26" t="s">
        <v>378</v>
      </c>
      <c r="AJ7" s="26" t="s">
        <v>382</v>
      </c>
      <c r="AK7" s="26" t="s">
        <v>386</v>
      </c>
      <c r="AL7" s="26" t="s">
        <v>391</v>
      </c>
      <c r="AM7" s="26" t="s">
        <v>396</v>
      </c>
      <c r="AN7" s="26" t="s">
        <v>401</v>
      </c>
      <c r="AO7" s="26" t="s">
        <v>406</v>
      </c>
      <c r="AP7" s="26" t="s">
        <v>410</v>
      </c>
      <c r="AQ7" s="26" t="s">
        <v>414</v>
      </c>
      <c r="AR7" s="26" t="s">
        <v>417</v>
      </c>
      <c r="AS7" s="26" t="s">
        <v>421</v>
      </c>
      <c r="AT7" s="26" t="s">
        <v>179</v>
      </c>
      <c r="AU7" s="26" t="s">
        <v>305</v>
      </c>
      <c r="AV7" s="26" t="s">
        <v>425</v>
      </c>
      <c r="AW7" s="26" t="s">
        <v>179</v>
      </c>
      <c r="AX7" s="26" t="s">
        <v>182</v>
      </c>
      <c r="AY7" s="26" t="s">
        <v>186</v>
      </c>
      <c r="AZ7" s="26" t="s">
        <v>188</v>
      </c>
      <c r="BA7" s="26" t="s">
        <v>301</v>
      </c>
      <c r="BB7" t="s">
        <v>328</v>
      </c>
      <c r="BD7" s="27" t="s">
        <v>69</v>
      </c>
      <c r="BE7" s="27">
        <v>2</v>
      </c>
    </row>
    <row r="8" spans="2:57" s="27" customFormat="1" ht="90" hidden="1" x14ac:dyDescent="0.25">
      <c r="F8" s="27" t="s">
        <v>73</v>
      </c>
      <c r="G8" s="26" t="s">
        <v>79</v>
      </c>
      <c r="L8" s="26" t="s">
        <v>99</v>
      </c>
      <c r="P8" s="26" t="s">
        <v>146</v>
      </c>
      <c r="Q8" s="26" t="s">
        <v>338</v>
      </c>
      <c r="R8" s="26" t="s">
        <v>150</v>
      </c>
      <c r="S8" s="26" t="s">
        <v>154</v>
      </c>
      <c r="T8" s="26" t="s">
        <v>341</v>
      </c>
      <c r="U8" s="26" t="s">
        <v>343</v>
      </c>
      <c r="V8" s="26" t="s">
        <v>158</v>
      </c>
      <c r="W8" s="26" t="s">
        <v>162</v>
      </c>
      <c r="X8" s="26" t="s">
        <v>165</v>
      </c>
      <c r="Z8" s="26" t="s">
        <v>168</v>
      </c>
      <c r="AA8" s="26" t="s">
        <v>173</v>
      </c>
      <c r="AB8" s="26" t="s">
        <v>347</v>
      </c>
      <c r="AC8" s="26" t="s">
        <v>352</v>
      </c>
      <c r="AD8" s="26" t="s">
        <v>357</v>
      </c>
      <c r="AE8" s="26" t="s">
        <v>362</v>
      </c>
      <c r="AF8" s="26" t="s">
        <v>367</v>
      </c>
      <c r="AG8" s="26" t="s">
        <v>372</v>
      </c>
      <c r="AH8" s="26" t="s">
        <v>375</v>
      </c>
      <c r="AI8" s="26" t="s">
        <v>379</v>
      </c>
      <c r="AJ8" s="26" t="s">
        <v>383</v>
      </c>
      <c r="AK8" s="26" t="s">
        <v>387</v>
      </c>
      <c r="AL8" s="26" t="s">
        <v>392</v>
      </c>
      <c r="AM8" s="26" t="s">
        <v>397</v>
      </c>
      <c r="AN8" s="26" t="s">
        <v>402</v>
      </c>
      <c r="AO8" s="26" t="s">
        <v>407</v>
      </c>
      <c r="AP8" s="26" t="s">
        <v>411</v>
      </c>
      <c r="AQ8" s="26" t="s">
        <v>430</v>
      </c>
      <c r="AR8" s="26" t="s">
        <v>418</v>
      </c>
      <c r="AS8" s="26" t="s">
        <v>422</v>
      </c>
      <c r="AT8" s="26" t="s">
        <v>180</v>
      </c>
      <c r="AU8" s="26" t="s">
        <v>306</v>
      </c>
      <c r="AV8" s="26" t="s">
        <v>426</v>
      </c>
      <c r="AW8" s="26" t="s">
        <v>180</v>
      </c>
      <c r="AX8" s="26" t="s">
        <v>184</v>
      </c>
      <c r="BA8" s="26" t="s">
        <v>300</v>
      </c>
      <c r="BB8" t="s">
        <v>329</v>
      </c>
      <c r="BE8" s="27">
        <v>3</v>
      </c>
    </row>
    <row r="9" spans="2:57" s="27" customFormat="1" ht="105" hidden="1" x14ac:dyDescent="0.25">
      <c r="F9" s="27" t="s">
        <v>74</v>
      </c>
      <c r="G9" s="26" t="s">
        <v>80</v>
      </c>
      <c r="L9" s="26" t="s">
        <v>100</v>
      </c>
      <c r="P9" s="26" t="s">
        <v>147</v>
      </c>
      <c r="R9" s="26" t="s">
        <v>151</v>
      </c>
      <c r="S9" s="26" t="s">
        <v>153</v>
      </c>
      <c r="V9" s="26" t="s">
        <v>159</v>
      </c>
      <c r="AA9" s="26" t="s">
        <v>326</v>
      </c>
      <c r="AB9" s="26" t="s">
        <v>348</v>
      </c>
      <c r="AC9" s="26" t="s">
        <v>353</v>
      </c>
      <c r="AD9" s="26" t="s">
        <v>358</v>
      </c>
      <c r="AE9" s="26" t="s">
        <v>363</v>
      </c>
      <c r="AF9" s="26" t="s">
        <v>368</v>
      </c>
      <c r="AG9" s="26" t="s">
        <v>429</v>
      </c>
      <c r="AH9" s="26" t="s">
        <v>376</v>
      </c>
      <c r="AI9" s="26" t="s">
        <v>380</v>
      </c>
      <c r="AJ9" s="26" t="s">
        <v>384</v>
      </c>
      <c r="AK9" s="26" t="s">
        <v>388</v>
      </c>
      <c r="AL9" s="26" t="s">
        <v>393</v>
      </c>
      <c r="AM9" s="26" t="s">
        <v>398</v>
      </c>
      <c r="AN9" s="26" t="s">
        <v>403</v>
      </c>
      <c r="AO9" s="26" t="s">
        <v>408</v>
      </c>
      <c r="AP9" s="26" t="s">
        <v>412</v>
      </c>
      <c r="AQ9" s="26" t="s">
        <v>415</v>
      </c>
      <c r="AR9" s="26" t="s">
        <v>419</v>
      </c>
      <c r="AS9" s="26" t="s">
        <v>423</v>
      </c>
      <c r="AT9" s="26" t="s">
        <v>181</v>
      </c>
      <c r="AU9" s="26" t="s">
        <v>307</v>
      </c>
      <c r="AV9" s="26" t="s">
        <v>427</v>
      </c>
      <c r="AW9" s="26" t="s">
        <v>181</v>
      </c>
      <c r="BA9" s="26" t="s">
        <v>302</v>
      </c>
      <c r="BB9" t="s">
        <v>330</v>
      </c>
      <c r="BE9" s="27">
        <v>4</v>
      </c>
    </row>
    <row r="10" spans="2:57" s="27" customFormat="1" ht="75" hidden="1" x14ac:dyDescent="0.25">
      <c r="F10" s="27" t="s">
        <v>75</v>
      </c>
      <c r="G10" s="26" t="s">
        <v>81</v>
      </c>
      <c r="AB10" s="26" t="s">
        <v>349</v>
      </c>
      <c r="AC10" s="26" t="s">
        <v>354</v>
      </c>
      <c r="AD10" s="26" t="s">
        <v>359</v>
      </c>
      <c r="AE10" s="26" t="s">
        <v>364</v>
      </c>
      <c r="AF10" s="26" t="s">
        <v>369</v>
      </c>
      <c r="AK10" s="26" t="s">
        <v>389</v>
      </c>
      <c r="AL10" s="26" t="s">
        <v>394</v>
      </c>
      <c r="AM10" s="26" t="s">
        <v>399</v>
      </c>
      <c r="AN10" s="26" t="s">
        <v>404</v>
      </c>
      <c r="AO10" s="26"/>
      <c r="AS10" s="26"/>
      <c r="BB10" t="s">
        <v>331</v>
      </c>
      <c r="BE10" s="27">
        <v>5</v>
      </c>
    </row>
    <row r="11" spans="2:57" s="27" customFormat="1" x14ac:dyDescent="0.25">
      <c r="B11" s="39" t="s">
        <v>575</v>
      </c>
      <c r="C11" s="126">
        <v>1</v>
      </c>
      <c r="G11" s="26"/>
      <c r="AB11" s="26"/>
      <c r="AC11" s="26"/>
      <c r="AD11" s="26"/>
      <c r="AE11" s="26"/>
      <c r="AF11" s="26"/>
      <c r="AK11" s="26"/>
      <c r="AL11" s="26"/>
      <c r="AM11" s="26"/>
      <c r="AN11" s="26"/>
      <c r="AO11" s="26"/>
      <c r="AS11" s="26"/>
      <c r="BB11"/>
      <c r="BE11" s="27">
        <v>6</v>
      </c>
    </row>
    <row r="12" spans="2:57" s="27" customFormat="1" x14ac:dyDescent="0.25">
      <c r="G12" s="26"/>
      <c r="AB12" s="26"/>
      <c r="AC12" s="26"/>
      <c r="AD12" s="26"/>
      <c r="AE12" s="26"/>
      <c r="AF12" s="26"/>
      <c r="AK12" s="26"/>
      <c r="AL12" s="26"/>
      <c r="AM12" s="26"/>
      <c r="AN12" s="26"/>
      <c r="AO12" s="26"/>
      <c r="AS12" s="26"/>
      <c r="BB12"/>
    </row>
    <row r="13" spans="2:57" s="27" customFormat="1" x14ac:dyDescent="0.25">
      <c r="B13" s="28" t="s">
        <v>91</v>
      </c>
      <c r="AB13" s="26"/>
      <c r="AK13" s="26"/>
    </row>
    <row r="14" spans="2:57" s="27" customFormat="1" ht="30" x14ac:dyDescent="0.25">
      <c r="B14" s="39" t="s">
        <v>70</v>
      </c>
      <c r="C14" s="125" t="s">
        <v>73</v>
      </c>
      <c r="AB14" s="26"/>
    </row>
    <row r="15" spans="2:57" s="27" customFormat="1" x14ac:dyDescent="0.25">
      <c r="C15" s="26"/>
    </row>
    <row r="16" spans="2:57" s="27" customFormat="1" ht="30" x14ac:dyDescent="0.25">
      <c r="B16" s="39" t="s">
        <v>76</v>
      </c>
      <c r="C16" s="125" t="s">
        <v>79</v>
      </c>
    </row>
    <row r="17" spans="1:47" x14ac:dyDescent="0.25">
      <c r="A17" s="27"/>
      <c r="B17" s="27"/>
      <c r="C17" s="27"/>
      <c r="D17" s="27"/>
      <c r="E17" s="27"/>
      <c r="AO17" s="26"/>
    </row>
    <row r="18" spans="1:47" ht="45" x14ac:dyDescent="0.25">
      <c r="A18" s="27"/>
      <c r="B18" s="39" t="s">
        <v>82</v>
      </c>
      <c r="C18" s="125" t="s">
        <v>89</v>
      </c>
      <c r="D18" s="27"/>
      <c r="E18" s="27"/>
      <c r="AO18" s="26"/>
    </row>
    <row r="19" spans="1:47" x14ac:dyDescent="0.25">
      <c r="A19" s="27"/>
      <c r="B19" s="27"/>
      <c r="C19" s="27"/>
      <c r="D19" s="27"/>
      <c r="E19" s="27"/>
      <c r="AK19" s="25"/>
      <c r="AU19" s="26"/>
    </row>
    <row r="20" spans="1:47" ht="30" x14ac:dyDescent="0.25">
      <c r="A20" s="27"/>
      <c r="B20" s="39" t="s">
        <v>83</v>
      </c>
      <c r="C20" s="125" t="s">
        <v>85</v>
      </c>
      <c r="D20" s="27"/>
      <c r="E20" s="27"/>
      <c r="AB20" s="25"/>
    </row>
    <row r="21" spans="1:47" x14ac:dyDescent="0.25">
      <c r="A21" s="27"/>
      <c r="B21" s="27"/>
      <c r="C21" s="27"/>
      <c r="D21" s="27"/>
      <c r="E21" s="27"/>
    </row>
    <row r="22" spans="1:47" ht="60" x14ac:dyDescent="0.25">
      <c r="B22" s="39" t="s">
        <v>86</v>
      </c>
      <c r="C22" s="127" t="s">
        <v>87</v>
      </c>
      <c r="AU22" s="26"/>
    </row>
    <row r="24" spans="1:47" x14ac:dyDescent="0.25">
      <c r="AB24" s="25"/>
    </row>
    <row r="25" spans="1:47" x14ac:dyDescent="0.25">
      <c r="B25" s="28" t="s">
        <v>92</v>
      </c>
    </row>
    <row r="27" spans="1:47" ht="45" x14ac:dyDescent="0.25">
      <c r="B27" s="39" t="s">
        <v>93</v>
      </c>
      <c r="C27" s="125" t="s">
        <v>95</v>
      </c>
    </row>
    <row r="28" spans="1:47" x14ac:dyDescent="0.25">
      <c r="B28" s="27"/>
      <c r="C28" s="27"/>
    </row>
    <row r="29" spans="1:47" ht="45" x14ac:dyDescent="0.25">
      <c r="B29" s="39" t="s">
        <v>96</v>
      </c>
      <c r="C29" s="125" t="s">
        <v>99</v>
      </c>
    </row>
    <row r="30" spans="1:47" x14ac:dyDescent="0.25">
      <c r="AB30" s="25"/>
    </row>
    <row r="31" spans="1:47" ht="45" x14ac:dyDescent="0.25">
      <c r="B31" s="39" t="str">
        <f>IF(VALUE(MID(C29,1,1))&gt;=3,"Es amplia o restringida la disponibilidad de Mano de Obra con la calificación requerida en la zona de ejecución del contrato?","Pase a la siguiente pregunta")</f>
        <v>Es amplia o restringida la disponibilidad de Mano de Obra con la calificación requerida en la zona de ejecución del contrato?</v>
      </c>
      <c r="C31" s="125" t="s">
        <v>310</v>
      </c>
    </row>
    <row r="32" spans="1:47" x14ac:dyDescent="0.25">
      <c r="B32" s="26"/>
      <c r="C32" s="26"/>
    </row>
    <row r="33" spans="2:3" ht="45" x14ac:dyDescent="0.25">
      <c r="B33" s="39" t="s">
        <v>101</v>
      </c>
      <c r="C33" s="125" t="s">
        <v>102</v>
      </c>
    </row>
    <row r="35" spans="2:3" ht="41.25" customHeight="1" x14ac:dyDescent="0.25">
      <c r="B35" s="39" t="s">
        <v>103</v>
      </c>
      <c r="C35" s="125" t="s">
        <v>105</v>
      </c>
    </row>
    <row r="38" spans="2:3" x14ac:dyDescent="0.25">
      <c r="B38" s="29" t="s">
        <v>106</v>
      </c>
    </row>
    <row r="39" spans="2:3" x14ac:dyDescent="0.25">
      <c r="B39" s="25"/>
    </row>
    <row r="40" spans="2:3" ht="45" x14ac:dyDescent="0.25">
      <c r="B40" s="39" t="s">
        <v>107</v>
      </c>
      <c r="C40" s="127" t="s">
        <v>147</v>
      </c>
    </row>
    <row r="42" spans="2:3" ht="30" x14ac:dyDescent="0.25">
      <c r="B42" s="39" t="s">
        <v>108</v>
      </c>
      <c r="C42" s="125" t="s">
        <v>338</v>
      </c>
    </row>
    <row r="44" spans="2:3" ht="30" x14ac:dyDescent="0.25">
      <c r="B44" s="39" t="s">
        <v>297</v>
      </c>
      <c r="C44" s="127" t="s">
        <v>151</v>
      </c>
    </row>
    <row r="46" spans="2:3" ht="45" x14ac:dyDescent="0.25">
      <c r="B46" s="39" t="s">
        <v>109</v>
      </c>
      <c r="C46" s="125" t="s">
        <v>152</v>
      </c>
    </row>
    <row r="49" spans="2:3" x14ac:dyDescent="0.25">
      <c r="B49" s="29" t="s">
        <v>110</v>
      </c>
    </row>
    <row r="51" spans="2:3" ht="30" x14ac:dyDescent="0.25">
      <c r="B51" s="39" t="s">
        <v>313</v>
      </c>
      <c r="C51" s="127" t="s">
        <v>339</v>
      </c>
    </row>
    <row r="53" spans="2:3" ht="30" x14ac:dyDescent="0.25">
      <c r="B53" s="39" t="s">
        <v>111</v>
      </c>
      <c r="C53" s="125" t="s">
        <v>327</v>
      </c>
    </row>
    <row r="55" spans="2:3" ht="45" x14ac:dyDescent="0.25">
      <c r="B55" s="39" t="s">
        <v>314</v>
      </c>
      <c r="C55" s="127" t="s">
        <v>342</v>
      </c>
    </row>
    <row r="57" spans="2:3" ht="30" x14ac:dyDescent="0.25">
      <c r="B57" s="39" t="s">
        <v>111</v>
      </c>
      <c r="C57" s="127" t="s">
        <v>327</v>
      </c>
    </row>
    <row r="60" spans="2:3" x14ac:dyDescent="0.25">
      <c r="B60" s="29" t="s">
        <v>112</v>
      </c>
    </row>
    <row r="61" spans="2:3" x14ac:dyDescent="0.25">
      <c r="B61" s="25"/>
    </row>
    <row r="63" spans="2:3" ht="45" x14ac:dyDescent="0.25">
      <c r="B63" s="39" t="s">
        <v>113</v>
      </c>
      <c r="C63" s="127" t="s">
        <v>156</v>
      </c>
    </row>
    <row r="64" spans="2:3" x14ac:dyDescent="0.25">
      <c r="B64" s="25"/>
    </row>
    <row r="65" spans="2:3" ht="30" x14ac:dyDescent="0.25">
      <c r="B65" s="39" t="s">
        <v>114</v>
      </c>
      <c r="C65" s="127" t="s">
        <v>160</v>
      </c>
    </row>
    <row r="66" spans="2:3" x14ac:dyDescent="0.25">
      <c r="B66" s="25"/>
    </row>
    <row r="67" spans="2:3" ht="45" x14ac:dyDescent="0.25">
      <c r="B67" s="39" t="s">
        <v>170</v>
      </c>
      <c r="C67" s="127" t="s">
        <v>163</v>
      </c>
    </row>
    <row r="68" spans="2:3" x14ac:dyDescent="0.25">
      <c r="B68" s="25"/>
    </row>
    <row r="69" spans="2:3" x14ac:dyDescent="0.25">
      <c r="B69" s="25"/>
    </row>
    <row r="70" spans="2:3" x14ac:dyDescent="0.25">
      <c r="B70" s="25"/>
    </row>
    <row r="71" spans="2:3" ht="45" x14ac:dyDescent="0.25">
      <c r="B71" s="39" t="s">
        <v>115</v>
      </c>
      <c r="C71" s="125" t="s">
        <v>344</v>
      </c>
    </row>
    <row r="72" spans="2:3" x14ac:dyDescent="0.25">
      <c r="B72" s="25"/>
    </row>
    <row r="73" spans="2:3" ht="30" x14ac:dyDescent="0.25">
      <c r="B73" s="39" t="s">
        <v>171</v>
      </c>
      <c r="C73" s="127" t="s">
        <v>166</v>
      </c>
    </row>
    <row r="74" spans="2:3" x14ac:dyDescent="0.25">
      <c r="B74" s="25"/>
    </row>
    <row r="75" spans="2:3" ht="30" x14ac:dyDescent="0.25">
      <c r="B75" s="39" t="s">
        <v>116</v>
      </c>
      <c r="C75" s="127" t="s">
        <v>169</v>
      </c>
    </row>
    <row r="76" spans="2:3" x14ac:dyDescent="0.25">
      <c r="B76" s="25"/>
    </row>
    <row r="78" spans="2:3" x14ac:dyDescent="0.25">
      <c r="B78" s="30" t="s">
        <v>174</v>
      </c>
    </row>
    <row r="79" spans="2:3" ht="45" x14ac:dyDescent="0.25">
      <c r="B79" s="39" t="s">
        <v>130</v>
      </c>
    </row>
    <row r="81" spans="2:3" ht="30" x14ac:dyDescent="0.25">
      <c r="B81" s="39" t="s">
        <v>117</v>
      </c>
      <c r="C81" s="127" t="s">
        <v>345</v>
      </c>
    </row>
    <row r="82" spans="2:3" x14ac:dyDescent="0.25">
      <c r="C82" s="25"/>
    </row>
    <row r="83" spans="2:3" ht="45" x14ac:dyDescent="0.25">
      <c r="B83" s="39" t="s">
        <v>118</v>
      </c>
      <c r="C83" s="127" t="s">
        <v>351</v>
      </c>
    </row>
    <row r="84" spans="2:3" x14ac:dyDescent="0.25">
      <c r="C84" s="25"/>
    </row>
    <row r="85" spans="2:3" ht="30" x14ac:dyDescent="0.25">
      <c r="B85" s="39" t="s">
        <v>119</v>
      </c>
      <c r="C85" s="127" t="s">
        <v>355</v>
      </c>
    </row>
    <row r="86" spans="2:3" x14ac:dyDescent="0.25">
      <c r="C86" s="25"/>
    </row>
    <row r="87" spans="2:3" ht="30" x14ac:dyDescent="0.25">
      <c r="B87" s="39" t="s">
        <v>120</v>
      </c>
      <c r="C87" s="127" t="s">
        <v>364</v>
      </c>
    </row>
    <row r="88" spans="2:3" x14ac:dyDescent="0.25">
      <c r="C88" s="25"/>
    </row>
    <row r="89" spans="2:3" ht="30" x14ac:dyDescent="0.25">
      <c r="B89" s="39" t="s">
        <v>121</v>
      </c>
      <c r="C89" s="127" t="s">
        <v>369</v>
      </c>
    </row>
    <row r="90" spans="2:3" x14ac:dyDescent="0.25">
      <c r="C90" s="25"/>
    </row>
    <row r="91" spans="2:3" ht="60" x14ac:dyDescent="0.25">
      <c r="B91" s="39" t="s">
        <v>122</v>
      </c>
      <c r="C91" s="125" t="s">
        <v>429</v>
      </c>
    </row>
    <row r="92" spans="2:3" x14ac:dyDescent="0.25">
      <c r="C92" s="25"/>
    </row>
    <row r="93" spans="2:3" ht="60" x14ac:dyDescent="0.25">
      <c r="B93" s="39" t="s">
        <v>123</v>
      </c>
      <c r="C93" s="127" t="s">
        <v>376</v>
      </c>
    </row>
    <row r="94" spans="2:3" x14ac:dyDescent="0.25">
      <c r="C94" s="25"/>
    </row>
    <row r="95" spans="2:3" ht="30" x14ac:dyDescent="0.25">
      <c r="B95" s="39" t="s">
        <v>124</v>
      </c>
      <c r="C95" s="127" t="s">
        <v>377</v>
      </c>
    </row>
    <row r="96" spans="2:3" x14ac:dyDescent="0.25">
      <c r="C96" s="25"/>
    </row>
    <row r="97" spans="2:3" ht="30" x14ac:dyDescent="0.25">
      <c r="B97" s="39" t="s">
        <v>125</v>
      </c>
      <c r="C97" s="127" t="s">
        <v>381</v>
      </c>
    </row>
    <row r="98" spans="2:3" x14ac:dyDescent="0.25">
      <c r="C98" s="25"/>
    </row>
    <row r="99" spans="2:3" ht="30" x14ac:dyDescent="0.25">
      <c r="B99" s="39" t="s">
        <v>126</v>
      </c>
      <c r="C99" s="127" t="s">
        <v>386</v>
      </c>
    </row>
    <row r="100" spans="2:3" x14ac:dyDescent="0.25">
      <c r="C100" s="25"/>
    </row>
    <row r="101" spans="2:3" ht="30" x14ac:dyDescent="0.25">
      <c r="B101" s="39" t="s">
        <v>127</v>
      </c>
      <c r="C101" s="127" t="s">
        <v>391</v>
      </c>
    </row>
    <row r="102" spans="2:3" x14ac:dyDescent="0.25">
      <c r="C102" s="25"/>
    </row>
    <row r="103" spans="2:3" ht="30" x14ac:dyDescent="0.25">
      <c r="B103" s="39" t="s">
        <v>128</v>
      </c>
      <c r="C103" s="127" t="s">
        <v>396</v>
      </c>
    </row>
    <row r="104" spans="2:3" x14ac:dyDescent="0.25">
      <c r="C104" s="25"/>
    </row>
    <row r="105" spans="2:3" ht="30" x14ac:dyDescent="0.25">
      <c r="B105" s="39" t="s">
        <v>129</v>
      </c>
      <c r="C105" s="127" t="s">
        <v>400</v>
      </c>
    </row>
    <row r="108" spans="2:3" x14ac:dyDescent="0.25">
      <c r="B108" s="29" t="s">
        <v>131</v>
      </c>
    </row>
    <row r="109" spans="2:3" x14ac:dyDescent="0.25">
      <c r="B109" s="25"/>
    </row>
    <row r="110" spans="2:3" ht="60" x14ac:dyDescent="0.25">
      <c r="B110" s="39" t="s">
        <v>132</v>
      </c>
      <c r="C110" s="125" t="s">
        <v>407</v>
      </c>
    </row>
    <row r="111" spans="2:3" x14ac:dyDescent="0.25">
      <c r="B111" s="27"/>
      <c r="C111" s="27"/>
    </row>
    <row r="112" spans="2:3" ht="30" x14ac:dyDescent="0.25">
      <c r="B112" s="39" t="s">
        <v>133</v>
      </c>
      <c r="C112" s="125" t="s">
        <v>411</v>
      </c>
    </row>
    <row r="113" spans="2:3" x14ac:dyDescent="0.25">
      <c r="B113" s="27"/>
      <c r="C113" s="27"/>
    </row>
    <row r="114" spans="2:3" ht="60" x14ac:dyDescent="0.25">
      <c r="B114" s="39" t="s">
        <v>175</v>
      </c>
      <c r="C114" s="125" t="s">
        <v>430</v>
      </c>
    </row>
    <row r="117" spans="2:3" x14ac:dyDescent="0.25">
      <c r="B117" s="29" t="s">
        <v>134</v>
      </c>
    </row>
    <row r="118" spans="2:3" ht="75" x14ac:dyDescent="0.25">
      <c r="B118" s="39" t="s">
        <v>176</v>
      </c>
      <c r="C118" s="125" t="s">
        <v>417</v>
      </c>
    </row>
    <row r="121" spans="2:3" x14ac:dyDescent="0.25">
      <c r="B121" s="29" t="s">
        <v>135</v>
      </c>
    </row>
    <row r="123" spans="2:3" ht="45" x14ac:dyDescent="0.25">
      <c r="B123" s="39" t="s">
        <v>177</v>
      </c>
      <c r="C123" s="125" t="s">
        <v>423</v>
      </c>
    </row>
    <row r="125" spans="2:3" ht="60" x14ac:dyDescent="0.25">
      <c r="B125" s="39" t="s">
        <v>136</v>
      </c>
      <c r="C125" s="125" t="s">
        <v>179</v>
      </c>
    </row>
    <row r="127" spans="2:3" ht="45" x14ac:dyDescent="0.25">
      <c r="B127" s="39" t="s">
        <v>137</v>
      </c>
      <c r="C127" s="125" t="s">
        <v>306</v>
      </c>
    </row>
    <row r="129" spans="2:3" x14ac:dyDescent="0.25">
      <c r="B129" s="29" t="s">
        <v>138</v>
      </c>
    </row>
    <row r="130" spans="2:3" x14ac:dyDescent="0.25">
      <c r="B130" s="25"/>
    </row>
    <row r="131" spans="2:3" ht="30" x14ac:dyDescent="0.25">
      <c r="B131" s="39" t="s">
        <v>139</v>
      </c>
      <c r="C131" s="125" t="s">
        <v>424</v>
      </c>
    </row>
    <row r="133" spans="2:3" x14ac:dyDescent="0.25">
      <c r="B133" s="39" t="s">
        <v>298</v>
      </c>
      <c r="C133" s="125" t="s">
        <v>299</v>
      </c>
    </row>
    <row r="135" spans="2:3" ht="45" x14ac:dyDescent="0.25">
      <c r="B135" s="39" t="s">
        <v>140</v>
      </c>
      <c r="C135" s="125" t="s">
        <v>179</v>
      </c>
    </row>
    <row r="137" spans="2:3" ht="30" x14ac:dyDescent="0.25">
      <c r="B137" s="39" t="s">
        <v>141</v>
      </c>
      <c r="C137" s="125" t="s">
        <v>183</v>
      </c>
    </row>
    <row r="139" spans="2:3" ht="60" x14ac:dyDescent="0.25">
      <c r="B139" s="39" t="s">
        <v>142</v>
      </c>
      <c r="C139" s="125" t="s">
        <v>185</v>
      </c>
    </row>
    <row r="141" spans="2:3" ht="30" x14ac:dyDescent="0.25">
      <c r="B141" s="39" t="s">
        <v>143</v>
      </c>
      <c r="C141" s="125" t="s">
        <v>187</v>
      </c>
    </row>
  </sheetData>
  <sheetProtection algorithmName="SHA-512" hashValue="q3Bz2xjlLRQh0Q58ZL9qWOBT5Lh5lHIS4mRlHUHc6v8St9z+jyDKPz5/YCYM+SdM5BwHn7JnWR4PXowTEdNang==" saltValue="J956hJaINosr3D/7o4ckkA==" spinCount="100000" sheet="1"/>
  <dataValidations count="50">
    <dataValidation type="list" allowBlank="1" showInputMessage="1" showErrorMessage="1" sqref="C14">
      <formula1>$F$6:$F$10</formula1>
    </dataValidation>
    <dataValidation type="list" allowBlank="1" showInputMessage="1" showErrorMessage="1" sqref="C16">
      <formula1>$G$6:$G$10</formula1>
    </dataValidation>
    <dataValidation type="list" allowBlank="1" showInputMessage="1" showErrorMessage="1" sqref="C18">
      <formula1>$H$6:$H$7</formula1>
    </dataValidation>
    <dataValidation type="list" allowBlank="1" showInputMessage="1" showErrorMessage="1" sqref="C20">
      <formula1>$I$6:$I$7</formula1>
    </dataValidation>
    <dataValidation type="list" allowBlank="1" showInputMessage="1" showErrorMessage="1" sqref="C22">
      <formula1>$J$6:$J$7</formula1>
    </dataValidation>
    <dataValidation type="list" allowBlank="1" showInputMessage="1" showErrorMessage="1" sqref="C27">
      <formula1>$K$6:$K$7</formula1>
    </dataValidation>
    <dataValidation type="list" allowBlank="1" showInputMessage="1" showErrorMessage="1" sqref="C29">
      <formula1>$L$6:$L$9</formula1>
    </dataValidation>
    <dataValidation type="list" allowBlank="1" showInputMessage="1" showErrorMessage="1" sqref="C31">
      <formula1>$M$6:$M$7</formula1>
    </dataValidation>
    <dataValidation type="list" allowBlank="1" showInputMessage="1" showErrorMessage="1" sqref="C33">
      <formula1>$N$6:$N$7</formula1>
    </dataValidation>
    <dataValidation type="list" allowBlank="1" showInputMessage="1" showErrorMessage="1" sqref="C35">
      <formula1>$O$6:$O$7</formula1>
    </dataValidation>
    <dataValidation type="list" allowBlank="1" showInputMessage="1" showErrorMessage="1" sqref="C40">
      <formula1>$P$6:$P$9</formula1>
    </dataValidation>
    <dataValidation type="list" allowBlank="1" showInputMessage="1" showErrorMessage="1" sqref="C42">
      <formula1>$Q$6:$Q$8</formula1>
    </dataValidation>
    <dataValidation type="list" allowBlank="1" showInputMessage="1" showErrorMessage="1" sqref="C44">
      <formula1>$R$6:$R$9</formula1>
    </dataValidation>
    <dataValidation type="list" allowBlank="1" showInputMessage="1" showErrorMessage="1" sqref="C46">
      <formula1>$S$6:$S$9</formula1>
    </dataValidation>
    <dataValidation type="list" allowBlank="1" showInputMessage="1" showErrorMessage="1" sqref="C51">
      <formula1>$T$6:$T$8</formula1>
    </dataValidation>
    <dataValidation type="list" allowBlank="1" showInputMessage="1" showErrorMessage="1" sqref="C55">
      <formula1>$U$6:$U$8</formula1>
    </dataValidation>
    <dataValidation type="list" allowBlank="1" showInputMessage="1" showErrorMessage="1" sqref="C63">
      <formula1>$V$6:$V$9</formula1>
    </dataValidation>
    <dataValidation type="list" allowBlank="1" showInputMessage="1" showErrorMessage="1" sqref="C65">
      <formula1>$W$6:$W$8</formula1>
    </dataValidation>
    <dataValidation type="list" allowBlank="1" showInputMessage="1" showErrorMessage="1" sqref="C67">
      <formula1>$X$6:$X$8</formula1>
    </dataValidation>
    <dataValidation type="list" allowBlank="1" showInputMessage="1" showErrorMessage="1" sqref="C71">
      <formula1>$Y$6:$Y$7</formula1>
    </dataValidation>
    <dataValidation type="list" allowBlank="1" showInputMessage="1" showErrorMessage="1" sqref="C73">
      <formula1>$Z$6:$Z$8</formula1>
    </dataValidation>
    <dataValidation type="list" allowBlank="1" showInputMessage="1" showErrorMessage="1" sqref="C75">
      <formula1>$AA$6:$AA$9</formula1>
    </dataValidation>
    <dataValidation type="list" allowBlank="1" showInputMessage="1" showErrorMessage="1" sqref="C81">
      <formula1>$AB$6:$AB$10</formula1>
    </dataValidation>
    <dataValidation type="list" allowBlank="1" showInputMessage="1" showErrorMessage="1" sqref="C83">
      <formula1>$AC$6:$AC$10</formula1>
    </dataValidation>
    <dataValidation type="list" allowBlank="1" showInputMessage="1" showErrorMessage="1" sqref="C85">
      <formula1>$AD$6:$AD$10</formula1>
    </dataValidation>
    <dataValidation type="list" allowBlank="1" showInputMessage="1" showErrorMessage="1" sqref="C87">
      <formula1>$AE$6:$AE$10</formula1>
    </dataValidation>
    <dataValidation type="list" allowBlank="1" showInputMessage="1" showErrorMessage="1" sqref="C89">
      <formula1>$AF$6:$AF$10</formula1>
    </dataValidation>
    <dataValidation type="list" allowBlank="1" showInputMessage="1" showErrorMessage="1" sqref="C91">
      <formula1>$AG$6:$AG$9</formula1>
    </dataValidation>
    <dataValidation type="list" allowBlank="1" showInputMessage="1" showErrorMessage="1" sqref="C93">
      <formula1>$AH$6:$AH$9</formula1>
    </dataValidation>
    <dataValidation type="list" allowBlank="1" showInputMessage="1" showErrorMessage="1" sqref="C95">
      <formula1>$AI$6:$AI$9</formula1>
    </dataValidation>
    <dataValidation type="list" allowBlank="1" showInputMessage="1" showErrorMessage="1" sqref="C97">
      <formula1>$AJ$6:$AJ$9</formula1>
    </dataValidation>
    <dataValidation type="list" allowBlank="1" showInputMessage="1" showErrorMessage="1" sqref="C99">
      <formula1>$AK$6:$AK$10</formula1>
    </dataValidation>
    <dataValidation type="list" allowBlank="1" showInputMessage="1" showErrorMessage="1" sqref="C101">
      <formula1>$AL$6:$AL$10</formula1>
    </dataValidation>
    <dataValidation type="list" allowBlank="1" showInputMessage="1" showErrorMessage="1" sqref="C105">
      <formula1>$AN$6:$AN$10</formula1>
    </dataValidation>
    <dataValidation type="list" allowBlank="1" showInputMessage="1" showErrorMessage="1" sqref="C103">
      <formula1>$AM$6:$AM$10</formula1>
    </dataValidation>
    <dataValidation type="list" allowBlank="1" showInputMessage="1" showErrorMessage="1" sqref="C110">
      <formula1>$AO$6:$AO$9</formula1>
    </dataValidation>
    <dataValidation type="list" allowBlank="1" showInputMessage="1" showErrorMessage="1" sqref="C112">
      <formula1>$AP$6:$AP$9</formula1>
    </dataValidation>
    <dataValidation type="list" allowBlank="1" showInputMessage="1" showErrorMessage="1" sqref="C114">
      <formula1>$AQ$6:$AQ$9</formula1>
    </dataValidation>
    <dataValidation type="list" allowBlank="1" showInputMessage="1" showErrorMessage="1" sqref="C118">
      <formula1>$AR$6:$AR$9</formula1>
    </dataValidation>
    <dataValidation type="list" allowBlank="1" showInputMessage="1" showErrorMessage="1" sqref="C123">
      <formula1>$AS$6:$AS$9</formula1>
    </dataValidation>
    <dataValidation type="list" allowBlank="1" showInputMessage="1" showErrorMessage="1" sqref="C125">
      <formula1>$AT$6:$AT$9</formula1>
    </dataValidation>
    <dataValidation type="list" allowBlank="1" showInputMessage="1" showErrorMessage="1" sqref="C131">
      <formula1>$AV$6:$AV$9</formula1>
    </dataValidation>
    <dataValidation type="list" allowBlank="1" showInputMessage="1" showErrorMessage="1" sqref="C135">
      <formula1>$AW$6:$AW$9</formula1>
    </dataValidation>
    <dataValidation type="list" allowBlank="1" showInputMessage="1" showErrorMessage="1" sqref="C137">
      <formula1>$AX$6:$AX$8</formula1>
    </dataValidation>
    <dataValidation type="list" allowBlank="1" showInputMessage="1" showErrorMessage="1" sqref="C139">
      <formula1>$AY$6:$AY$7</formula1>
    </dataValidation>
    <dataValidation type="list" allowBlank="1" showInputMessage="1" showErrorMessage="1" sqref="C141">
      <formula1>$AZ$6:$AZ$7</formula1>
    </dataValidation>
    <dataValidation type="list" allowBlank="1" showInputMessage="1" showErrorMessage="1" sqref="C133">
      <formula1>$BA$6:$BA$9</formula1>
    </dataValidation>
    <dataValidation type="list" allowBlank="1" showInputMessage="1" showErrorMessage="1" sqref="C127">
      <formula1>$AU$6:$AU$9</formula1>
    </dataValidation>
    <dataValidation type="list" allowBlank="1" showInputMessage="1" showErrorMessage="1" sqref="C53 C57">
      <formula1>$BB$6:$BB$10</formula1>
    </dataValidation>
    <dataValidation type="list" allowBlank="1" showInputMessage="1" showErrorMessage="1" sqref="C11">
      <formula1>$BE$6:$BE$11</formula1>
    </dataValidation>
  </dataValidations>
  <pageMargins left="0.70866141732283472" right="0.70866141732283472" top="0.74803149606299213" bottom="0.74803149606299213" header="0.31496062992125984" footer="0.31496062992125984"/>
  <pageSetup scale="10" fitToHeight="12"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1:DR108"/>
  <sheetViews>
    <sheetView topLeftCell="B1" zoomScaleNormal="100" workbookViewId="0">
      <pane xSplit="2" ySplit="2" topLeftCell="V3" activePane="bottomRight" state="frozen"/>
      <selection activeCell="B1" sqref="B1"/>
      <selection pane="topRight" activeCell="C1" sqref="C1"/>
      <selection pane="bottomLeft" activeCell="B3" sqref="B3"/>
      <selection pane="bottomRight" activeCell="V12" sqref="V12"/>
    </sheetView>
  </sheetViews>
  <sheetFormatPr baseColWidth="10" defaultColWidth="10.85546875" defaultRowHeight="15" x14ac:dyDescent="0.25"/>
  <cols>
    <col min="1" max="1" width="10.85546875" style="134"/>
    <col min="2" max="2" width="4.42578125" style="134" customWidth="1"/>
    <col min="3" max="3" width="58.42578125" style="135" customWidth="1"/>
    <col min="4" max="4" width="40.42578125" style="134" customWidth="1"/>
    <col min="5" max="5" width="4.85546875" style="134" customWidth="1"/>
    <col min="6" max="6" width="35.140625" style="134" customWidth="1"/>
    <col min="7" max="7" width="7.140625" style="134" customWidth="1"/>
    <col min="8" max="8" width="35.140625" style="134" customWidth="1"/>
    <col min="9" max="9" width="8.28515625" style="134" customWidth="1"/>
    <col min="10" max="10" width="35.140625" style="134" customWidth="1"/>
    <col min="11" max="11" width="9.140625" style="134" customWidth="1"/>
    <col min="12" max="12" width="59.42578125" style="134" customWidth="1"/>
    <col min="13" max="13" width="5.42578125" style="134" customWidth="1"/>
    <col min="14" max="14" width="59.42578125" style="134" customWidth="1"/>
    <col min="15" max="15" width="8.140625" style="134" customWidth="1"/>
    <col min="16" max="16" width="59.42578125" style="134" customWidth="1"/>
    <col min="17" max="17" width="6.42578125" style="134" customWidth="1"/>
    <col min="18" max="18" width="59.42578125" style="134" customWidth="1"/>
    <col min="19" max="19" width="8" style="134" customWidth="1"/>
    <col min="20" max="20" width="59.42578125" style="134" customWidth="1"/>
    <col min="21" max="21" width="7.28515625" style="134" customWidth="1"/>
    <col min="22" max="22" width="59.42578125" style="134" customWidth="1"/>
    <col min="23" max="23" width="5.42578125" style="134" customWidth="1"/>
    <col min="24" max="24" width="59.42578125" style="134" customWidth="1"/>
    <col min="25" max="25" width="6" style="134" customWidth="1"/>
    <col min="26" max="26" width="59.42578125" style="134" customWidth="1"/>
    <col min="27" max="27" width="6.28515625" style="134" customWidth="1"/>
    <col min="28" max="28" width="59.42578125" style="134" customWidth="1"/>
    <col min="29" max="29" width="10.140625" style="134" customWidth="1"/>
    <col min="30" max="30" width="59.42578125" style="134" customWidth="1"/>
    <col min="31" max="31" width="9.140625" style="134" customWidth="1"/>
    <col min="32" max="32" width="59.42578125" style="134" customWidth="1"/>
    <col min="33" max="33" width="9" style="134" customWidth="1"/>
    <col min="34" max="34" width="59.42578125" style="134" customWidth="1"/>
    <col min="35" max="35" width="11.42578125" style="134" customWidth="1"/>
    <col min="36" max="36" width="59.42578125" style="134" customWidth="1"/>
    <col min="37" max="37" width="10.140625" style="134" customWidth="1"/>
    <col min="38" max="38" width="10.85546875" style="137"/>
    <col min="39" max="39" width="10.85546875" style="134"/>
    <col min="40" max="40" width="4.28515625" style="134" customWidth="1"/>
    <col min="41" max="41" width="10.85546875" style="134"/>
    <col min="42" max="42" width="4.42578125" style="134" customWidth="1"/>
    <col min="43" max="43" width="10.85546875" style="134"/>
    <col min="44" max="44" width="5.85546875" style="134" customWidth="1"/>
    <col min="45" max="45" width="10.85546875" style="134"/>
    <col min="46" max="46" width="5" style="134" customWidth="1"/>
    <col min="47" max="47" width="10.85546875" style="134"/>
    <col min="48" max="48" width="4.85546875" style="134" customWidth="1"/>
    <col min="49" max="49" width="10.85546875" style="134"/>
    <col min="50" max="50" width="5.42578125" style="134" customWidth="1"/>
    <col min="51" max="51" width="10.85546875" style="134"/>
    <col min="52" max="52" width="5.85546875" style="134" customWidth="1"/>
    <col min="53" max="53" width="10.85546875" style="134"/>
    <col min="54" max="54" width="5.42578125" style="134" customWidth="1"/>
    <col min="55" max="55" width="10.85546875" style="134"/>
    <col min="56" max="56" width="6.42578125" style="134" customWidth="1"/>
    <col min="57" max="57" width="10.85546875" style="134"/>
    <col min="58" max="58" width="5.42578125" style="134" customWidth="1"/>
    <col min="59" max="59" width="10.85546875" style="134"/>
    <col min="60" max="60" width="5.28515625" style="134" customWidth="1"/>
    <col min="61" max="61" width="10.85546875" style="134"/>
    <col min="62" max="62" width="4.85546875" style="134" customWidth="1"/>
    <col min="63" max="63" width="10.85546875" style="134"/>
    <col min="64" max="64" width="5.140625" style="134" customWidth="1"/>
    <col min="65" max="65" width="10.85546875" style="134"/>
    <col min="66" max="66" width="5.28515625" style="134" customWidth="1"/>
    <col min="67" max="67" width="10.85546875" style="134"/>
    <col min="68" max="68" width="5.42578125" style="134" customWidth="1"/>
    <col min="69" max="69" width="10.85546875" style="134"/>
    <col min="70" max="70" width="5.85546875" style="134" customWidth="1"/>
    <col min="71" max="71" width="10.85546875" style="134"/>
    <col min="72" max="72" width="4.85546875" style="134" customWidth="1"/>
    <col min="73" max="73" width="4.42578125" style="137" customWidth="1"/>
    <col min="74" max="89" width="10.85546875" style="134"/>
    <col min="90" max="90" width="10.42578125" style="137" customWidth="1"/>
    <col min="91" max="91" width="10.85546875" style="134"/>
    <col min="92" max="93" width="11" style="134" bestFit="1" customWidth="1"/>
    <col min="94" max="94" width="13.28515625" style="134" bestFit="1" customWidth="1"/>
    <col min="95" max="95" width="16.42578125" style="134" bestFit="1" customWidth="1"/>
    <col min="96" max="96" width="10.85546875" style="134"/>
    <col min="97" max="97" width="18.7109375" style="134" bestFit="1" customWidth="1"/>
    <col min="98" max="98" width="27.42578125" style="134" bestFit="1" customWidth="1"/>
    <col min="99" max="99" width="31.7109375" style="134" bestFit="1" customWidth="1"/>
    <col min="100" max="100" width="34" style="134" bestFit="1" customWidth="1"/>
    <col min="101" max="120" width="10.85546875" style="134"/>
    <col min="121" max="121" width="11.42578125" style="134" bestFit="1" customWidth="1"/>
    <col min="122" max="16384" width="10.85546875" style="134"/>
  </cols>
  <sheetData>
    <row r="1" spans="2:122" x14ac:dyDescent="0.25">
      <c r="D1" s="136" t="s">
        <v>293</v>
      </c>
      <c r="E1" s="136"/>
      <c r="F1" s="136"/>
      <c r="G1" s="136"/>
      <c r="H1" s="136"/>
      <c r="I1" s="136"/>
      <c r="J1" s="136"/>
      <c r="K1" s="136"/>
      <c r="L1" s="137" t="s">
        <v>294</v>
      </c>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M1" s="136" t="s">
        <v>293</v>
      </c>
      <c r="AN1" s="136"/>
      <c r="AO1" s="136"/>
      <c r="AP1" s="136"/>
      <c r="AQ1" s="136"/>
      <c r="AR1" s="136"/>
      <c r="AS1" s="136"/>
      <c r="AT1" s="136"/>
      <c r="AU1" s="137" t="s">
        <v>294</v>
      </c>
      <c r="AV1" s="137"/>
      <c r="AW1" s="137"/>
      <c r="AX1" s="137"/>
      <c r="AY1" s="137"/>
      <c r="AZ1" s="137"/>
      <c r="BA1" s="137"/>
      <c r="BB1" s="137"/>
      <c r="BC1" s="137"/>
      <c r="BD1" s="137"/>
      <c r="BE1" s="137"/>
      <c r="BF1" s="137"/>
      <c r="BG1" s="137"/>
      <c r="BH1" s="137"/>
      <c r="BI1" s="137"/>
      <c r="BJ1" s="137"/>
      <c r="BK1" s="137"/>
      <c r="BL1" s="137"/>
      <c r="BM1" s="137"/>
      <c r="BN1" s="137"/>
      <c r="BO1" s="137"/>
      <c r="BP1" s="137"/>
      <c r="BQ1" s="137"/>
      <c r="BR1" s="137"/>
      <c r="BS1" s="137"/>
      <c r="BT1" s="137"/>
      <c r="BV1" s="136" t="s">
        <v>293</v>
      </c>
      <c r="BW1" s="136"/>
      <c r="BX1" s="136"/>
      <c r="BY1" s="136"/>
      <c r="BZ1" s="137" t="s">
        <v>294</v>
      </c>
      <c r="CA1" s="137"/>
      <c r="CB1" s="137"/>
      <c r="CC1" s="137"/>
      <c r="CD1" s="137"/>
      <c r="CE1" s="137"/>
      <c r="CF1" s="137"/>
      <c r="CG1" s="137"/>
      <c r="CH1" s="137"/>
      <c r="CI1" s="137"/>
      <c r="CJ1" s="137"/>
      <c r="CK1" s="137"/>
      <c r="CL1" s="138" t="s">
        <v>316</v>
      </c>
      <c r="CM1" s="134" t="s">
        <v>316</v>
      </c>
      <c r="CN1" s="139">
        <v>1</v>
      </c>
      <c r="CO1" s="139">
        <v>8</v>
      </c>
      <c r="CP1" s="139">
        <v>256</v>
      </c>
      <c r="CQ1" s="139">
        <v>18432</v>
      </c>
      <c r="CR1" s="140"/>
      <c r="CS1" s="139">
        <v>16777216</v>
      </c>
      <c r="CT1" s="139">
        <v>4897760256</v>
      </c>
      <c r="CU1" s="139">
        <v>36691771392</v>
      </c>
      <c r="CV1" s="139">
        <v>45864714240</v>
      </c>
    </row>
    <row r="2" spans="2:122" x14ac:dyDescent="0.25">
      <c r="C2" s="141" t="s">
        <v>308</v>
      </c>
      <c r="D2" s="136" t="s">
        <v>589</v>
      </c>
      <c r="E2" s="136"/>
      <c r="F2" s="136"/>
      <c r="G2" s="136"/>
      <c r="H2" s="136"/>
      <c r="I2" s="136"/>
      <c r="J2" s="136"/>
      <c r="K2" s="136"/>
      <c r="L2" s="137" t="s">
        <v>590</v>
      </c>
      <c r="M2" s="137"/>
      <c r="N2" s="137" t="s">
        <v>591</v>
      </c>
      <c r="O2" s="137"/>
      <c r="P2" s="137" t="s">
        <v>592</v>
      </c>
      <c r="Q2" s="137"/>
      <c r="R2" s="137" t="s">
        <v>593</v>
      </c>
      <c r="S2" s="137"/>
      <c r="T2" s="137" t="s">
        <v>578</v>
      </c>
      <c r="U2" s="137"/>
      <c r="V2" s="137" t="s">
        <v>579</v>
      </c>
      <c r="W2" s="137"/>
      <c r="X2" s="137" t="s">
        <v>583</v>
      </c>
      <c r="Y2" s="137"/>
      <c r="Z2" s="137" t="s">
        <v>585</v>
      </c>
      <c r="AA2" s="137"/>
      <c r="AB2" s="137"/>
      <c r="AC2" s="137"/>
      <c r="AD2" s="137"/>
      <c r="AE2" s="137"/>
      <c r="AF2" s="137"/>
      <c r="AG2" s="137"/>
      <c r="AH2" s="137"/>
      <c r="AI2" s="137"/>
      <c r="AJ2" s="137"/>
      <c r="AK2" s="137"/>
      <c r="AM2" s="136"/>
      <c r="AN2" s="136"/>
      <c r="AO2" s="136"/>
      <c r="AP2" s="136"/>
      <c r="AQ2" s="136"/>
      <c r="AR2" s="136"/>
      <c r="AS2" s="136"/>
      <c r="AT2" s="136"/>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CL2" s="142"/>
      <c r="CM2" s="134" t="s">
        <v>317</v>
      </c>
      <c r="CN2" s="140"/>
      <c r="CO2" s="140">
        <f>CO1/CN1</f>
        <v>8</v>
      </c>
      <c r="CP2" s="140">
        <f>CP1/CO1</f>
        <v>32</v>
      </c>
      <c r="CQ2" s="140">
        <f>CQ1/CP1</f>
        <v>72</v>
      </c>
      <c r="CR2" s="140"/>
      <c r="CS2" s="140">
        <f>CS1/CQ1</f>
        <v>910.22222222222217</v>
      </c>
      <c r="CT2" s="140">
        <f>CT1/CS1</f>
        <v>291.92926025390625</v>
      </c>
      <c r="CU2" s="140">
        <f t="shared" ref="CU2:CV2" si="0">CU1/CS1</f>
        <v>2187</v>
      </c>
      <c r="CV2" s="140">
        <f t="shared" si="0"/>
        <v>9.3644261545496121</v>
      </c>
      <c r="DA2" s="143">
        <f>IFERROR(VALUE(MID(D2,1,2)),"")</f>
        <v>5</v>
      </c>
      <c r="DB2" s="143" t="str">
        <f>IFERROR(VALUE(MID(F2,1,2)),"")</f>
        <v/>
      </c>
      <c r="DC2" s="143" t="str">
        <f>IFERROR(VALUE(MID(H2,1,2)),"")</f>
        <v/>
      </c>
      <c r="DD2" s="143" t="str">
        <f>IFERROR(VALUE(MID(J2,1,2)),"")</f>
        <v/>
      </c>
      <c r="DE2" s="143">
        <f>IFERROR(VALUE(MID(L2,1,2)),"")</f>
        <v>6</v>
      </c>
      <c r="DF2" s="143">
        <f>IFERROR(VALUE(MID(N2,1,2)),"")</f>
        <v>7</v>
      </c>
      <c r="DG2" s="143">
        <f>IFERROR(VALUE(MID(P2,1,2)),"")</f>
        <v>8</v>
      </c>
      <c r="DH2" s="143">
        <f>IFERROR(VALUE(MID(R2,1,2)),"")</f>
        <v>9</v>
      </c>
      <c r="DI2" s="143">
        <f>IFERROR(VALUE(MID(T2,1,2)),"")</f>
        <v>10</v>
      </c>
      <c r="DJ2" s="143">
        <f>IFERROR(VALUE(MID(V2,1,2)),"")</f>
        <v>11</v>
      </c>
      <c r="DK2" s="143">
        <f>IFERROR(VALUE(MID(X2,1,2)),"")</f>
        <v>14</v>
      </c>
      <c r="DL2" s="143">
        <f>IFERROR(VALUE(MID(Z2,1,2)),"")</f>
        <v>16</v>
      </c>
      <c r="DM2" s="143" t="str">
        <f>IFERROR(VALUE(MID(AB2,1,2)),"")</f>
        <v/>
      </c>
      <c r="DN2" s="143" t="str">
        <f>IFERROR(VALUE(MID(AD2,1,2)),"")</f>
        <v/>
      </c>
      <c r="DO2" s="143" t="str">
        <f>IFERROR(VALUE(MID(AF2,1,2)),"")</f>
        <v/>
      </c>
      <c r="DP2" s="143" t="str">
        <f>IFERROR(VALUE(MID(AH2,1,2)),"")</f>
        <v/>
      </c>
    </row>
    <row r="3" spans="2:122" ht="30" x14ac:dyDescent="0.25">
      <c r="B3" s="134">
        <v>1</v>
      </c>
      <c r="C3" s="135" t="s">
        <v>245</v>
      </c>
      <c r="D3" s="136" t="s">
        <v>577</v>
      </c>
      <c r="P3" s="134" t="str">
        <f>'Descripcion Actividades'!C40</f>
        <v>4 Las actividades de transporte son inherentes al cumplimiento del objeto contractual.</v>
      </c>
      <c r="Q3" s="134">
        <v>1</v>
      </c>
      <c r="V3" s="134" t="str">
        <f>'Descripcion Actividades'!C73</f>
        <v>1 Los materiales e insumos son todos de origen nacional.</v>
      </c>
      <c r="W3" s="134">
        <v>1</v>
      </c>
      <c r="AN3" s="134">
        <f>E3</f>
        <v>0</v>
      </c>
      <c r="AP3" s="134">
        <f>G3</f>
        <v>0</v>
      </c>
      <c r="AR3" s="134">
        <f t="shared" ref="AR3:AX73" si="1">I3</f>
        <v>0</v>
      </c>
      <c r="AT3" s="134">
        <f t="shared" si="1"/>
        <v>0</v>
      </c>
      <c r="AV3" s="134">
        <f t="shared" si="1"/>
        <v>0</v>
      </c>
      <c r="AX3" s="134">
        <f t="shared" si="1"/>
        <v>0</v>
      </c>
      <c r="AY3" s="134" t="str">
        <f>MID(P3,1,1)</f>
        <v>4</v>
      </c>
      <c r="AZ3" s="134">
        <f t="shared" ref="AZ3:BF73" si="2">Q3</f>
        <v>1</v>
      </c>
      <c r="BB3" s="134">
        <f t="shared" si="2"/>
        <v>0</v>
      </c>
      <c r="BD3" s="134">
        <f t="shared" si="2"/>
        <v>0</v>
      </c>
      <c r="BE3" s="134" t="str">
        <f>MID(V3,1,1)</f>
        <v>1</v>
      </c>
      <c r="BF3" s="134">
        <f t="shared" si="2"/>
        <v>1</v>
      </c>
      <c r="BH3" s="134">
        <f t="shared" ref="BH3:BN73" si="3">Y3</f>
        <v>0</v>
      </c>
      <c r="BJ3" s="134">
        <f t="shared" si="3"/>
        <v>0</v>
      </c>
      <c r="BL3" s="134">
        <f t="shared" si="3"/>
        <v>0</v>
      </c>
      <c r="BN3" s="134">
        <f t="shared" si="3"/>
        <v>0</v>
      </c>
      <c r="BP3" s="134">
        <f t="shared" ref="BP3:BT73" si="4">AG3</f>
        <v>0</v>
      </c>
      <c r="BR3" s="134">
        <f t="shared" si="4"/>
        <v>0</v>
      </c>
      <c r="BT3" s="134">
        <f t="shared" si="4"/>
        <v>0</v>
      </c>
      <c r="CB3" s="134">
        <f t="shared" ref="CB3" si="5">VALUE(AY3)</f>
        <v>4</v>
      </c>
      <c r="CE3" s="134">
        <f>VALUE(BE3)</f>
        <v>1</v>
      </c>
      <c r="CL3" s="142"/>
      <c r="CM3" s="134" t="s">
        <v>318</v>
      </c>
      <c r="CN3" s="139">
        <v>1</v>
      </c>
      <c r="CO3" s="139">
        <v>32768</v>
      </c>
      <c r="CP3" s="139">
        <v>37748736</v>
      </c>
      <c r="CQ3" s="139">
        <v>52242776064</v>
      </c>
      <c r="CR3" s="140"/>
      <c r="CS3" s="139">
        <v>4398046511104</v>
      </c>
      <c r="CT3" s="139">
        <v>1.4589198550868314E+20</v>
      </c>
      <c r="CU3" s="139">
        <v>3.4426051660119714E+24</v>
      </c>
      <c r="CV3" s="139">
        <v>9.7844723712E+25</v>
      </c>
      <c r="CX3" s="144"/>
      <c r="CY3" s="144"/>
      <c r="CZ3" s="144"/>
      <c r="DA3" s="134">
        <f>IF(AN3=1,AM3,1)*IF(AN4=1,AM4,1)*IF(AN5=1,AM5,1)*IF(AN6=1,AM6,1)*IF(AN7=1,AM7,1)</f>
        <v>1</v>
      </c>
      <c r="DB3" s="134">
        <f>IF(AP3=1,AO3,1)*IF(AP4=1,AO4,1)*IF(AP5=1,AO5,1)*IF(AP6=1,AO6,1)*IF(AP7=1,AO7,1)</f>
        <v>1</v>
      </c>
      <c r="DC3" s="134">
        <f>IF(AR3=1,AQ3,1)*IF(AR4=1,AQ4,1)*IF(AR5=1,AQ5,1)*IF(AR6=1,AQ6,1)*IF(AR7=1,AQ7,1)</f>
        <v>1</v>
      </c>
      <c r="DD3" s="134">
        <f>IF(AT3=1,AS3,1)*IF(AT4=1,AS4,1)*IF(AT5=1,AS5,1)*IF(AT6=1,AS6,1)*IF(AT7=1,AS7,1)</f>
        <v>1</v>
      </c>
      <c r="DE3" s="134">
        <f>IF(AV3=1,AU3,1)*IF(AV4=1,AU4,1)*IF(AV5=1,AU5,1)*IF(AV6=1,AU6,1)*IF(AV7=1,AU7,1)</f>
        <v>1</v>
      </c>
      <c r="DF3" s="134">
        <f>IF(AX3=1,AW3,1)*IF(AX4=1,AW4,1)*IF(AX5=1,AW5,1)*IF(AX6=1,AW6,1)*IF(AX7=1,AW7,1)</f>
        <v>1</v>
      </c>
      <c r="DG3" s="134">
        <f>IF(AZ3=1,AY3,1)*IF(AZ4=1,AY4,1)*IF(AZ5=1,AY5,1)*IF(AZ6=1,AY6,1)*IF(AZ7=1,AY7,1)</f>
        <v>4</v>
      </c>
      <c r="DH3" s="134">
        <f>IF(BB3=1,BA3,1)*IF(BB4=1,BA4,1)*IF(BB5=1,BA5,1)*IF(BB6=1,BA6,1)*IF(BB7=1,BA7,1)</f>
        <v>1</v>
      </c>
      <c r="DI3" s="134">
        <f>IF(BD3=1,BC3,1)*IF(BD4=1,BC4,1)*IF(BD5=1,BC5,1)*IF(BD6=1,BC6,1)*IF(BD7=1,BC7,1)</f>
        <v>1</v>
      </c>
      <c r="DJ3" s="134">
        <f>IF(BF3=1,BE3,1)*IF(BF4=1,BE4,1)*IF(BF5=1,BE5,1)*IF(BF6=1,BE6,1)*IF(BF7=1,BE7,1)</f>
        <v>1</v>
      </c>
      <c r="DK3" s="134">
        <f>IF(BH3=1,BG3,1)*IF(BH4=1,BG4,1)*IF(BH5=1,BG5,1)*IF(BH6=1,BG6,1)*IF(BH7=1,BG7,1)</f>
        <v>1</v>
      </c>
      <c r="DL3" s="134">
        <f>IF(BJ3=1,BI3,1)*IF(BJ4=1,BI4,1)*IF(BJ5=1,BI5,1)*IF(BJ6=1,BI6,1)*IF(BJ7=1,BI7,1)</f>
        <v>1</v>
      </c>
      <c r="DM3" s="134">
        <f>IF(BL3=1,BK3,1)*IF(BL4=1,BK4,1)*IF(BL5=1,BK5,1)*IF(BL6=1,BK6,1)*IF(BL7=1,BK7,1)</f>
        <v>1</v>
      </c>
      <c r="DN3" s="134">
        <f>IF(BN3=1,BM3,1)*IF(BN4=1,BM4,1)*IF(BN5=1,BM5,1)*IF(BN6=1,BM6,1)*IF(BN7=1,BM7,1)</f>
        <v>1</v>
      </c>
      <c r="DO3" s="134">
        <f>IF(BP3=1,BO3,1)*IF(BP4=1,BO4,1)*IF(BP5=1,BO5,1)*IF(BP6=1,BO6,1)*IF(BP7=1,BO7,1)</f>
        <v>1</v>
      </c>
      <c r="DP3" s="134">
        <f>IF(BR3=1,BQ3,1)*IF(BR4=1,BQ4,1)*IF(BR5=1,BQ5,1)*IF(BR6=1,BQ6,1)*IF(BR7=1,BQ7,1)</f>
        <v>1</v>
      </c>
      <c r="DQ3" s="144">
        <f>PRODUCT(DA3:DP3)</f>
        <v>4</v>
      </c>
      <c r="DR3" s="134">
        <f>IF((DQ3-MAX(DQ3:DQ7))=0,B3,IF((DQ4-MAX(DQ3:DQ7))=0,B4,IF((DQ5-MAX(DQ3:DQ7))=0,B5,IF((DQ6-MAX(DQ3:DQ7))=0,B6,B7))))</f>
        <v>3</v>
      </c>
    </row>
    <row r="4" spans="2:122" x14ac:dyDescent="0.25">
      <c r="B4" s="134">
        <v>2</v>
      </c>
      <c r="C4" s="135" t="s">
        <v>246</v>
      </c>
      <c r="N4" s="134" t="str">
        <f>'Descripcion Actividades'!C27</f>
        <v>2 El contratista deberá vincular personal de dedicación exclusiva para la ejecución del contrato.</v>
      </c>
      <c r="O4" s="134">
        <v>2</v>
      </c>
      <c r="P4" s="134" t="str">
        <f>'Descripcion Actividades'!C42</f>
        <v>3 Las actividades de transporte son frecuentes y periódicas</v>
      </c>
      <c r="Q4" s="134">
        <v>2</v>
      </c>
      <c r="R4" s="145" t="str">
        <f>'Descripcion Actividades'!C51</f>
        <v>1 El contrato no contempla actividades de manipulación y/o suministro de alimentos.</v>
      </c>
      <c r="S4" s="145">
        <v>2</v>
      </c>
      <c r="T4" s="146" t="str">
        <f>'Descripcion Actividades'!C55</f>
        <v>1 El contrato no contempla actividades de manipulación y/o suministro de medicamentos.</v>
      </c>
      <c r="U4" s="146">
        <v>2</v>
      </c>
      <c r="V4" s="134" t="str">
        <f>'Descripcion Actividades'!C71</f>
        <v>1 Ninguno de los materiales e insumos requiere de permiso legal para acceder a ellos.</v>
      </c>
      <c r="W4" s="134">
        <v>3</v>
      </c>
      <c r="Z4" s="134" t="str">
        <f>'Descripcion Actividades'!C139</f>
        <v>1 La obra no contempla  actividades de excavación, cimentación o instalación de estructuras elevadas o de elementos de gran tamaño y elevado peso.</v>
      </c>
      <c r="AA4" s="134">
        <v>2</v>
      </c>
      <c r="AN4" s="134">
        <f t="shared" ref="AN4:AN75" si="6">E4</f>
        <v>0</v>
      </c>
      <c r="AP4" s="134">
        <f t="shared" ref="AP4:AP75" si="7">G4</f>
        <v>0</v>
      </c>
      <c r="AR4" s="134">
        <f t="shared" si="1"/>
        <v>0</v>
      </c>
      <c r="AT4" s="134">
        <f t="shared" si="1"/>
        <v>0</v>
      </c>
      <c r="AV4" s="134">
        <f t="shared" si="1"/>
        <v>0</v>
      </c>
      <c r="AW4" s="134" t="str">
        <f>MID(N4,1,1)</f>
        <v>2</v>
      </c>
      <c r="AX4" s="134">
        <f t="shared" si="1"/>
        <v>2</v>
      </c>
      <c r="AY4" s="134" t="str">
        <f t="shared" ref="AY4" si="8">MID(P4,1,1)</f>
        <v>3</v>
      </c>
      <c r="AZ4" s="134">
        <f t="shared" si="2"/>
        <v>2</v>
      </c>
      <c r="BA4" s="145" t="str">
        <f>MID(R4,1,1)</f>
        <v>1</v>
      </c>
      <c r="BB4" s="134">
        <f t="shared" si="2"/>
        <v>2</v>
      </c>
      <c r="BC4" s="146" t="str">
        <f t="shared" ref="BC4:BC5" si="9">MID(T4,1,1)</f>
        <v>1</v>
      </c>
      <c r="BD4" s="134">
        <f t="shared" si="2"/>
        <v>2</v>
      </c>
      <c r="BE4" s="134" t="str">
        <f>MID(V4,1,1)</f>
        <v>1</v>
      </c>
      <c r="BF4" s="134">
        <f t="shared" si="2"/>
        <v>3</v>
      </c>
      <c r="BH4" s="134">
        <f t="shared" si="3"/>
        <v>0</v>
      </c>
      <c r="BI4" s="134" t="str">
        <f>MID(Z4,1,1)</f>
        <v>1</v>
      </c>
      <c r="BJ4" s="134">
        <f t="shared" si="3"/>
        <v>2</v>
      </c>
      <c r="BL4" s="134">
        <f t="shared" si="3"/>
        <v>0</v>
      </c>
      <c r="BN4" s="134">
        <f t="shared" si="3"/>
        <v>0</v>
      </c>
      <c r="BP4" s="134">
        <f t="shared" si="4"/>
        <v>0</v>
      </c>
      <c r="BR4" s="134">
        <f t="shared" si="4"/>
        <v>0</v>
      </c>
      <c r="BT4" s="134">
        <f t="shared" si="4"/>
        <v>0</v>
      </c>
      <c r="CA4" s="134">
        <f>VALUE(AW4)</f>
        <v>2</v>
      </c>
      <c r="CB4" s="134">
        <f t="shared" ref="CB4" si="10">VALUE(AY4)</f>
        <v>3</v>
      </c>
      <c r="CC4" s="145">
        <f>VALUE(BA4)</f>
        <v>1</v>
      </c>
      <c r="CD4" s="146">
        <f t="shared" ref="CD4:CD5" si="11">VALUE(BC4)</f>
        <v>1</v>
      </c>
      <c r="CE4" s="134">
        <f>VALUE(BE4)</f>
        <v>1</v>
      </c>
      <c r="CG4" s="134">
        <f>VALUE(BI4)</f>
        <v>1</v>
      </c>
      <c r="CL4" s="142"/>
      <c r="CM4" s="134" t="s">
        <v>319</v>
      </c>
      <c r="CN4" s="140"/>
      <c r="CO4" s="140">
        <f>CO3/CN3</f>
        <v>32768</v>
      </c>
      <c r="CP4" s="140">
        <f>CP3/CO3</f>
        <v>1152</v>
      </c>
      <c r="CQ4" s="140">
        <f>CQ3/CP3</f>
        <v>1383.9609375</v>
      </c>
      <c r="CR4" s="140"/>
      <c r="CS4" s="140">
        <f>CS3/CQ3</f>
        <v>84.184778115852311</v>
      </c>
      <c r="CT4" s="140">
        <f>CT3/CS3</f>
        <v>33171996.962820034</v>
      </c>
      <c r="CU4" s="140">
        <f t="shared" ref="CU4" si="12">CU3/CS3</f>
        <v>782757789696</v>
      </c>
      <c r="CV4" s="140">
        <f t="shared" ref="CV4" si="13">CV3/CT3</f>
        <v>670665.51579816919</v>
      </c>
      <c r="CX4" s="144"/>
      <c r="CY4" s="144"/>
      <c r="CZ4" s="144"/>
      <c r="DA4" s="134">
        <f>IF(AN3=2,AM3,1)*IF(AN4=2,AM4,1)*IF(AN5=2,AM5,1)*IF(AN6=2,AM6,1)*IF(AN7=2,AM7,1)</f>
        <v>1</v>
      </c>
      <c r="DB4" s="134">
        <f>IF(AP3=2,AO3,1)*IF(AP4=2,AO4,1)*IF(AP5=2,AO5,1)*IF(AP6=2,AO6,1)*IF(AP7=2,AO7,1)</f>
        <v>1</v>
      </c>
      <c r="DC4" s="134">
        <f>IF(AR3=2,AQ3,1)*IF(AR4=2,AQ4,1)*IF(AR5=2,AQ5,1)*IF(AR6=2,AQ6,1)*IF(AR7=2,AQ7,1)</f>
        <v>1</v>
      </c>
      <c r="DD4" s="134">
        <f>IF(AT3=2,AS3,1)*IF(AT4=2,AS4,1)*IF(AT5=2,AS5,1)*IF(AT6=2,AS6,1)*IF(AT7=2,AS7,1)</f>
        <v>1</v>
      </c>
      <c r="DE4" s="134">
        <f>IF(AV3=2,AU3,1)*IF(AV4=2,AU4,1)*IF(AV5=2,AU5,1)*IF(AV6=2,AU6,1)*IF(AV7=2,AU7,1)</f>
        <v>1</v>
      </c>
      <c r="DF4" s="134">
        <f>IF(AX3=2,AW3,1)*IF(AX4=2,AW4,1)*IF(AX5=2,AW5,1)*IF(AX6=2,AW6,1)*IF(AX7=2,AW7,1)</f>
        <v>2</v>
      </c>
      <c r="DG4" s="134">
        <f>IF(AZ3=2,AY3,1)*IF(AZ4=2,AY4,1)*IF(AZ5=2,AY5,1)*IF(AZ6=2,AY6,1)*IF(AZ7=2,AY7,1)</f>
        <v>3</v>
      </c>
      <c r="DH4" s="134">
        <f>IF(BB3=2,BA3,1)*IF(BB4=2,BA4,1)*IF(BB5=2,BA5,1)*IF(BB6=2,BA6,1)*IF(BB7=2,BA7,1)</f>
        <v>1</v>
      </c>
      <c r="DI4" s="134">
        <f>IF(BD3=2,BC3,1)*IF(BD4=2,BC4,1)*IF(BD5=2,BC5,1)*IF(BD6=2,BC6,1)*IF(BD7=2,BC7,1)</f>
        <v>1</v>
      </c>
      <c r="DJ4" s="134">
        <f>IF(BF3=2,BE3,1)*IF(BF4=2,BE4,1)*IF(BF5=2,BE5,1)*IF(BF6=2,BE6,1)*IF(BF7=2,BE7,1)</f>
        <v>1</v>
      </c>
      <c r="DK4" s="134">
        <f>IF(BH3=2,BG3,1)*IF(BH4=2,BG4,1)*IF(BH5=2,BG5,1)*IF(BH6=2,BG6,1)*IF(BH7=2,BG7,1)</f>
        <v>1</v>
      </c>
      <c r="DL4" s="134">
        <f>IF(BJ3=2,BI3,1)*IF(BJ4=2,BI4,1)*IF(BJ5=2,BI5,1)*IF(BJ6=2,BI6,1)*IF(BJ7=2,BI7,1)</f>
        <v>1</v>
      </c>
      <c r="DM4" s="134">
        <f>IF(BL3=2,BK3,1)*IF(BL4=2,BK4,1)*IF(BL5=2,BK5,1)*IF(BL6=2,BK6,1)*IF(BL7=2,BK7,1)</f>
        <v>1</v>
      </c>
      <c r="DN4" s="134">
        <f>IF(BN3=2,BM3,1)*IF(BN4=2,BM4,1)*IF(BN5=2,BM5,1)*IF(BN6=2,BM6,1)*IF(BN7=2,BM7,1)</f>
        <v>1</v>
      </c>
      <c r="DO4" s="134">
        <f>IF(BP3=2,BO3,1)*IF(BP4=2,BO4,1)*IF(BP5=2,BO5,1)*IF(BP6=2,BO6,1)*IF(BP7=2,BO7,1)</f>
        <v>1</v>
      </c>
      <c r="DP4" s="134">
        <f>IF(BR3=2,BQ3,1)*IF(BR4=2,BQ4,1)*IF(BR5=2,BQ5,1)*IF(BR6=2,BQ6,1)*IF(BR7=2,BQ7,1)</f>
        <v>1</v>
      </c>
      <c r="DQ4" s="144">
        <f>PRODUCT(DA4:DP4)</f>
        <v>6</v>
      </c>
    </row>
    <row r="5" spans="2:122" x14ac:dyDescent="0.25">
      <c r="B5" s="134">
        <v>3</v>
      </c>
      <c r="C5" s="135" t="s">
        <v>247</v>
      </c>
      <c r="D5" s="134" t="str">
        <f>Contexto!C63</f>
        <v>2 Si hay restricciones de acceso</v>
      </c>
      <c r="E5" s="134">
        <v>3</v>
      </c>
      <c r="L5" s="134" t="str">
        <f>'Descripcion Actividades'!C22</f>
        <v>2 Se requieren permisos y licencias para la realización de las actividades por parte de autoridad competente que regula la actividad.</v>
      </c>
      <c r="M5" s="134">
        <v>3</v>
      </c>
      <c r="N5" s="134" t="str">
        <f>'Descripcion Actividades'!C35</f>
        <v>2 Se requiere al menos de una acreditación específica para la ejecución del contrato.</v>
      </c>
      <c r="O5" s="134">
        <v>3</v>
      </c>
      <c r="R5" s="134" t="str">
        <f>'Descripcion Actividades'!C53</f>
        <v>1 Nada Relevante</v>
      </c>
      <c r="S5" s="134">
        <v>3</v>
      </c>
      <c r="T5" s="146" t="str">
        <f>'Descripcion Actividades'!C57</f>
        <v>1 Nada Relevante</v>
      </c>
      <c r="U5" s="146">
        <v>3</v>
      </c>
      <c r="V5" s="134" t="str">
        <f>'Descripcion Actividades'!C63</f>
        <v>1 Todos los materiales e insumos requeridos son de amplia disponibilidad y accesibilidad.</v>
      </c>
      <c r="W5" s="134">
        <v>3</v>
      </c>
      <c r="X5" s="134" t="str">
        <f>'Descripcion Actividades'!C118</f>
        <v>2 Las máquinas, equipos y vehículos son de uso común y su disponibilidad es amplia.</v>
      </c>
      <c r="Y5" s="134">
        <v>3</v>
      </c>
      <c r="Z5" s="134" t="str">
        <f>'Descripcion Actividades'!C137</f>
        <v>1 La obra contempla actividades a nivel de piso.</v>
      </c>
      <c r="AA5" s="134">
        <v>3</v>
      </c>
      <c r="AM5" s="134" t="str">
        <f>(MID(D5,1,1))</f>
        <v>2</v>
      </c>
      <c r="AN5" s="134">
        <f t="shared" si="6"/>
        <v>3</v>
      </c>
      <c r="AP5" s="134">
        <f t="shared" si="7"/>
        <v>0</v>
      </c>
      <c r="AR5" s="134">
        <f t="shared" si="1"/>
        <v>0</v>
      </c>
      <c r="AT5" s="134">
        <f t="shared" si="1"/>
        <v>0</v>
      </c>
      <c r="AU5" s="134" t="str">
        <f>MID(L5,1,1)</f>
        <v>2</v>
      </c>
      <c r="AV5" s="134">
        <f t="shared" si="1"/>
        <v>3</v>
      </c>
      <c r="AW5" s="134" t="str">
        <f>MID(N5,1,1)</f>
        <v>2</v>
      </c>
      <c r="AX5" s="134">
        <f t="shared" si="1"/>
        <v>3</v>
      </c>
      <c r="AZ5" s="134">
        <f t="shared" si="2"/>
        <v>0</v>
      </c>
      <c r="BA5" s="145" t="str">
        <f>MID(R5,1,1)</f>
        <v>1</v>
      </c>
      <c r="BB5" s="134">
        <f t="shared" si="2"/>
        <v>3</v>
      </c>
      <c r="BC5" s="146" t="str">
        <f t="shared" si="9"/>
        <v>1</v>
      </c>
      <c r="BD5" s="134">
        <f t="shared" si="2"/>
        <v>3</v>
      </c>
      <c r="BE5" s="134" t="str">
        <f>MID(V5,1,1)</f>
        <v>1</v>
      </c>
      <c r="BF5" s="134">
        <f t="shared" si="2"/>
        <v>3</v>
      </c>
      <c r="BG5" s="134" t="str">
        <f>MID(X5,1,1)</f>
        <v>2</v>
      </c>
      <c r="BH5" s="134">
        <f t="shared" si="3"/>
        <v>3</v>
      </c>
      <c r="BI5" s="134" t="str">
        <f>MID(Z5,1,1)</f>
        <v>1</v>
      </c>
      <c r="BJ5" s="134">
        <f t="shared" si="3"/>
        <v>3</v>
      </c>
      <c r="BL5" s="134">
        <f t="shared" si="3"/>
        <v>0</v>
      </c>
      <c r="BN5" s="134">
        <f t="shared" si="3"/>
        <v>0</v>
      </c>
      <c r="BP5" s="134">
        <f t="shared" si="4"/>
        <v>0</v>
      </c>
      <c r="BR5" s="134">
        <f t="shared" si="4"/>
        <v>0</v>
      </c>
      <c r="BT5" s="134">
        <f t="shared" si="4"/>
        <v>0</v>
      </c>
      <c r="BV5" s="134">
        <f t="shared" ref="BV5:BV81" si="14">VALUE(AM5)</f>
        <v>2</v>
      </c>
      <c r="BZ5" s="134">
        <f>VALUE(AU5)</f>
        <v>2</v>
      </c>
      <c r="CA5" s="134">
        <f>VALUE(AW5)</f>
        <v>2</v>
      </c>
      <c r="CC5" s="145">
        <f>VALUE(BA5)</f>
        <v>1</v>
      </c>
      <c r="CD5" s="146">
        <f t="shared" si="11"/>
        <v>1</v>
      </c>
      <c r="CE5" s="134">
        <f>VALUE(BE5)</f>
        <v>1</v>
      </c>
      <c r="CF5" s="134">
        <f>VALUE(BG5)</f>
        <v>2</v>
      </c>
      <c r="CG5" s="134">
        <f>VALUE(BI5)</f>
        <v>1</v>
      </c>
      <c r="CL5" s="142"/>
      <c r="CM5" s="134" t="s">
        <v>320</v>
      </c>
      <c r="CN5" s="139">
        <v>1</v>
      </c>
      <c r="CO5" s="139">
        <v>32768</v>
      </c>
      <c r="CP5" s="139">
        <v>7077888</v>
      </c>
      <c r="CQ5" s="139">
        <v>4353564672</v>
      </c>
      <c r="CR5" s="140"/>
      <c r="CS5" s="139">
        <v>1099511627776</v>
      </c>
      <c r="CT5" s="139">
        <v>3.602271247127979E+18</v>
      </c>
      <c r="CU5" s="139">
        <v>2.6895352859468526E+22</v>
      </c>
      <c r="CV5" s="139">
        <v>3.91378894848E+23</v>
      </c>
      <c r="CX5" s="144"/>
      <c r="CY5" s="144"/>
      <c r="CZ5" s="144"/>
      <c r="DA5" s="134">
        <f>IF(AN3=3,AM3,1)*IF(AN4=3,AM4,1)*IF(AN5=3,AM5,1)*IF(AN6=3,AM6,1)*IF(AN7=3,AM7,1)</f>
        <v>2</v>
      </c>
      <c r="DB5" s="134">
        <f>IF(AP3=3,AO3,1)*IF(AP4=3,AO4,1)*IF(AP5=3,AO5,1)*IF(AP6=3,AO6,1)*IF(AP7=3,AO7,1)</f>
        <v>1</v>
      </c>
      <c r="DC5" s="134">
        <f>IF(AR3=3,AQ3,1)*IF(AR4=3,AQ4,1)*IF(AR5=3,AQ5,1)*IF(AR6=3,AQ6,1)*IF(AR7=3,AQ7,1)</f>
        <v>1</v>
      </c>
      <c r="DD5" s="134">
        <f>IF(AT3=3,AS3,1)*IF(AT4=3,AS4,1)*IF(AT5=3,AS5,1)*IF(AT6=3,AS6,1)*IF(AT7=3,AS7,1)</f>
        <v>1</v>
      </c>
      <c r="DE5" s="134">
        <f>IF(AV3=3,AU3,1)*IF(AV4=3,AU4,1)*IF(AV5=3,AU5,1)*IF(AV6=3,AU6,1)*IF(AV7=3,AU7,1)</f>
        <v>2</v>
      </c>
      <c r="DF5" s="134">
        <f>IF(AX3=3,AW3,1)*IF(AX4=3,AW4,1)*IF(AX5=3,AW5,1)*IF(AX6=3,AW6,1)*IF(AX7=3,AW7,1)</f>
        <v>2</v>
      </c>
      <c r="DG5" s="134">
        <f>IF(AZ3=3,AY3,1)*IF(AZ4=3,AY4,1)*IF(AZ5=3,AY5,1)*IF(AZ6=3,AY6,1)*IF(AZ7=3,AY7,1)</f>
        <v>1</v>
      </c>
      <c r="DH5" s="134">
        <f>IF(BB3=3,BA3,1)*IF(BB4=3,BA4,1)*IF(BB5=3,BA5,1)*IF(BB6=3,BA6,1)*IF(BB7=3,BA7,1)</f>
        <v>1</v>
      </c>
      <c r="DI5" s="134">
        <f>IF(BD3=3,BC3,1)*IF(BD4=3,BC4,1)*IF(BD5=3,BC5,1)*IF(BD6=3,BC6,1)*IF(BD7=3,BC7,1)</f>
        <v>1</v>
      </c>
      <c r="DJ5" s="134">
        <f>IF(BF3=3,BE3,1)*IF(BF4=3,BE4,1)*IF(BF5=3,BE5,1)*IF(BF6=3,BE6,1)*IF(BF7=3,BE7,1)</f>
        <v>1</v>
      </c>
      <c r="DK5" s="134">
        <f>IF(BH3=3,BG3,1)*IF(BH4=3,BG4,1)*IF(BH5=3,BG5,1)*IF(BH6=3,BG6,1)*IF(BH7=3,BG7,1)</f>
        <v>2</v>
      </c>
      <c r="DL5" s="134">
        <f>IF(BJ3=3,BI3,1)*IF(BJ4=3,BI4,1)*IF(BJ5=3,BI5,1)*IF(BJ6=3,BI6,1)*IF(BJ7=3,BI7,1)</f>
        <v>1</v>
      </c>
      <c r="DM5" s="134">
        <f>IF(BL3=3,BK3,1)*IF(BL4=3,BK4,1)*IF(BL5=3,BK5,1)*IF(BL6=3,BK6,1)*IF(BL7=3,BK7,1)</f>
        <v>1</v>
      </c>
      <c r="DN5" s="134">
        <f>IF(BN3=3,BM3,1)*IF(BN4=3,BM4,1)*IF(BN5=3,BM5,1)*IF(BN6=3,BM6,1)*IF(BN7=3,BM7,1)</f>
        <v>1</v>
      </c>
      <c r="DO5" s="134">
        <f>IF(BP3=3,BO3,1)*IF(BP4=3,BO4,1)*IF(BP5=3,BO5,1)*IF(BP6=3,BO6,1)*IF(BP7=3,BO7,1)</f>
        <v>1</v>
      </c>
      <c r="DP5" s="134">
        <f>IF(BR3=3,BQ3,1)*IF(BR4=3,BQ4,1)*IF(BR5=3,BQ5,1)*IF(BR6=3,BQ6,1)*IF(BR7=3,BQ7,1)</f>
        <v>1</v>
      </c>
      <c r="DQ5" s="144">
        <f>PRODUCT(DA5:DP5)</f>
        <v>16</v>
      </c>
    </row>
    <row r="6" spans="2:122" x14ac:dyDescent="0.25">
      <c r="B6" s="134">
        <v>4</v>
      </c>
      <c r="C6" s="135" t="s">
        <v>295</v>
      </c>
      <c r="L6" s="134" t="str">
        <f>'Descripcion Actividades'!C18</f>
        <v>1 El proceso es de común conocimiento no tiene restricciones de uso.</v>
      </c>
      <c r="M6" s="134">
        <v>4</v>
      </c>
      <c r="V6" s="134" t="str">
        <f>'Descripcion Actividades'!C65</f>
        <v>1 Hay múltiples fuentes para la consecusión de los materiales e insumos.</v>
      </c>
      <c r="W6" s="134">
        <v>4</v>
      </c>
      <c r="AN6" s="134">
        <f t="shared" si="6"/>
        <v>0</v>
      </c>
      <c r="AP6" s="134">
        <f t="shared" si="7"/>
        <v>0</v>
      </c>
      <c r="AR6" s="134">
        <f t="shared" si="1"/>
        <v>0</v>
      </c>
      <c r="AT6" s="134">
        <f t="shared" si="1"/>
        <v>0</v>
      </c>
      <c r="AU6" s="134" t="str">
        <f>MID(L6,1,1)</f>
        <v>1</v>
      </c>
      <c r="AV6" s="134">
        <f t="shared" si="1"/>
        <v>4</v>
      </c>
      <c r="AX6" s="134">
        <f t="shared" si="1"/>
        <v>0</v>
      </c>
      <c r="AZ6" s="134">
        <f t="shared" si="2"/>
        <v>0</v>
      </c>
      <c r="BB6" s="134">
        <f t="shared" si="2"/>
        <v>0</v>
      </c>
      <c r="BD6" s="134">
        <f t="shared" si="2"/>
        <v>0</v>
      </c>
      <c r="BE6" s="134" t="str">
        <f>MID(V6,1,1)</f>
        <v>1</v>
      </c>
      <c r="BF6" s="134">
        <f t="shared" si="2"/>
        <v>4</v>
      </c>
      <c r="BH6" s="134">
        <f t="shared" si="3"/>
        <v>0</v>
      </c>
      <c r="BJ6" s="134">
        <f t="shared" si="3"/>
        <v>0</v>
      </c>
      <c r="BL6" s="134">
        <f t="shared" si="3"/>
        <v>0</v>
      </c>
      <c r="BN6" s="134">
        <f t="shared" si="3"/>
        <v>0</v>
      </c>
      <c r="BP6" s="134">
        <f t="shared" si="4"/>
        <v>0</v>
      </c>
      <c r="BR6" s="134">
        <f t="shared" si="4"/>
        <v>0</v>
      </c>
      <c r="BT6" s="134">
        <f t="shared" si="4"/>
        <v>0</v>
      </c>
      <c r="BZ6" s="134">
        <f>VALUE(AU6)</f>
        <v>1</v>
      </c>
      <c r="CE6" s="134">
        <f>VALUE(BE6)</f>
        <v>1</v>
      </c>
      <c r="CL6" s="142"/>
      <c r="CM6" s="134" t="s">
        <v>321</v>
      </c>
      <c r="CN6" s="140"/>
      <c r="CO6" s="140">
        <f>CO5/CN5</f>
        <v>32768</v>
      </c>
      <c r="CP6" s="140">
        <f>CP5/CO5</f>
        <v>216</v>
      </c>
      <c r="CQ6" s="140">
        <f>CQ5/CP5</f>
        <v>615.09375</v>
      </c>
      <c r="CR6" s="140"/>
      <c r="CS6" s="140">
        <f>CS5/CQ5</f>
        <v>252.55433434755693</v>
      </c>
      <c r="CT6" s="140">
        <f>CT5/CS5</f>
        <v>3276246.6136118555</v>
      </c>
      <c r="CU6" s="140">
        <f t="shared" ref="CU6" si="15">CU5/CS5</f>
        <v>24461180928</v>
      </c>
      <c r="CV6" s="140">
        <f t="shared" ref="CV6" si="16">CV5/CT5</f>
        <v>108647.81355930339</v>
      </c>
      <c r="CX6" s="144"/>
      <c r="CY6" s="144"/>
      <c r="CZ6" s="144"/>
      <c r="DA6" s="134">
        <f>IF(AN3=4,AM3,1)*IF(AN4=4,AM4,1)*IF(AN5=4,AM5,1)*IF(AN6=4,AM6,1)*IF(AN7=4,AM7,1)</f>
        <v>1</v>
      </c>
      <c r="DB6" s="134">
        <f>IF(AP3=4,AO3,1)*IF(AP4=4,AO4,1)*IF(AP5=4,AO5,1)*IF(AP6=4,AO6,1)*IF(AP7=4,AO7,1)</f>
        <v>1</v>
      </c>
      <c r="DC6" s="134">
        <f>IF(AR3=4,AQ3,1)*IF(AR4=4,AQ4,1)*IF(AR5=4,AQ5,1)*IF(AR6=4,AQ6,1)*IF(AR7=4,AQ7,1)</f>
        <v>1</v>
      </c>
      <c r="DD6" s="134">
        <f>IF(AT3=4,AS3,1)*IF(AT4=4,AS4,1)*IF(AT5=4,AS5,1)*IF(AT6=4,AS6,1)*IF(AT7=4,AS7,1)</f>
        <v>1</v>
      </c>
      <c r="DE6" s="134">
        <f>IF(AV3=4,AU3,1)*IF(AV4=4,AU4,1)*IF(AV5=4,AU5,1)*IF(AV6=4,AU6,1)*IF(AV7=4,AU7,1)</f>
        <v>1</v>
      </c>
      <c r="DF6" s="134">
        <f>IF(AX3=4,AW3,1)*IF(AX4=4,AW4,1)*IF(AX5=4,AW5,1)*IF(AX6=4,AW6,1)*IF(AX7=4,AW7,1)</f>
        <v>1</v>
      </c>
      <c r="DG6" s="134">
        <f>IF(AZ3=4,AY3,1)*IF(AZ4=4,AY4,1)*IF(AZ5=4,AY5,1)*IF(AZ6=4,AY6,1)*IF(AZ7=4,AY7,1)</f>
        <v>1</v>
      </c>
      <c r="DH6" s="134">
        <f>IF(BB3=4,BA3,1)*IF(BB4=4,BA4,1)*IF(BB5=4,BA5,1)*IF(BB6=4,BA6,1)*IF(BB7=4,BA7,1)</f>
        <v>1</v>
      </c>
      <c r="DI6" s="134">
        <f>IF(BD3=4,BC3,1)*IF(BD4=4,BC4,1)*IF(BD5=4,BC5,1)*IF(BD6=4,BC6,1)*IF(BD7=4,BC7,1)</f>
        <v>1</v>
      </c>
      <c r="DJ6" s="134">
        <f>IF(BF3=4,BE3,1)*IF(BF4=4,BE4,1)*IF(BF5=4,BE5,1)*IF(BF6=4,BE6,1)*IF(BF7=4,BE7,1)</f>
        <v>1</v>
      </c>
      <c r="DK6" s="134">
        <f>IF(BH3=4,BG3,1)*IF(BH4=4,BG4,1)*IF(BH5=4,BG5,1)*IF(BH6=4,BG6,1)*IF(BH7=4,BG7,1)</f>
        <v>1</v>
      </c>
      <c r="DL6" s="134">
        <f>IF(BJ3=4,BI3,1)*IF(BJ4=4,BI4,1)*IF(BJ5=4,BI5,1)*IF(BJ6=4,BI6,1)*IF(BJ7=4,BI7,1)</f>
        <v>1</v>
      </c>
      <c r="DM6" s="134">
        <f>IF(BL3=4,BK3,1)*IF(BL4=4,BK4,1)*IF(BL5=4,BK5,1)*IF(BL6=4,BK6,1)*IF(BL7=4,BK7,1)</f>
        <v>1</v>
      </c>
      <c r="DN6" s="134">
        <f>IF(BN3=4,BM3,1)*IF(BN4=4,BM4,1)*IF(BN5=4,BM5,1)*IF(BN6=4,BM6,1)*IF(BN7=4,BM7,1)</f>
        <v>1</v>
      </c>
      <c r="DO6" s="134">
        <f>IF(BP3=4,BO3,1)*IF(BP4=4,BO4,1)*IF(BP5=4,BO5,1)*IF(BP6=4,BO6,1)*IF(BP7=4,BO7,1)</f>
        <v>1</v>
      </c>
      <c r="DP6" s="134">
        <f>IF(BR3=4,BQ3,1)*IF(BR4=4,BQ4,1)*IF(BR5=4,BQ5,1)*IF(BR6=4,BQ6,1)*IF(BR7=4,BQ7,1)</f>
        <v>1</v>
      </c>
      <c r="DQ6" s="144">
        <f>PRODUCT(DA6:DP6)</f>
        <v>1</v>
      </c>
    </row>
    <row r="7" spans="2:122" ht="60" x14ac:dyDescent="0.25">
      <c r="B7" s="134">
        <v>5</v>
      </c>
      <c r="C7" s="135" t="s">
        <v>296</v>
      </c>
      <c r="L7" s="134" t="str">
        <f>'Descripcion Actividades'!C20</f>
        <v>2 Las actividades están regidas y deben cumplir normas técnicas estictamente.</v>
      </c>
      <c r="M7" s="134">
        <v>5</v>
      </c>
      <c r="V7" s="134" t="str">
        <f>'Descripcion Actividades'!C75</f>
        <v>1 No se contemplan materiales e insumos perecederos para la ejecución del contrato.</v>
      </c>
      <c r="W7" s="134">
        <v>2</v>
      </c>
      <c r="Z7" s="134" t="str">
        <f>'Descripcion Actividades'!C141</f>
        <v>1 La obra no contempla actividades bajo el agua.</v>
      </c>
      <c r="AA7" s="134">
        <v>3</v>
      </c>
      <c r="AN7" s="134">
        <f t="shared" si="6"/>
        <v>0</v>
      </c>
      <c r="AP7" s="134">
        <f t="shared" si="7"/>
        <v>0</v>
      </c>
      <c r="AR7" s="134">
        <f t="shared" si="1"/>
        <v>0</v>
      </c>
      <c r="AT7" s="134">
        <f t="shared" si="1"/>
        <v>0</v>
      </c>
      <c r="AU7" s="134" t="str">
        <f>MID(L7,1,1)</f>
        <v>2</v>
      </c>
      <c r="AV7" s="134">
        <f t="shared" si="1"/>
        <v>5</v>
      </c>
      <c r="AX7" s="134">
        <f t="shared" si="1"/>
        <v>0</v>
      </c>
      <c r="AZ7" s="134">
        <f t="shared" si="2"/>
        <v>0</v>
      </c>
      <c r="BB7" s="134">
        <f t="shared" si="2"/>
        <v>0</v>
      </c>
      <c r="BD7" s="134">
        <f t="shared" si="2"/>
        <v>0</v>
      </c>
      <c r="BE7" s="134" t="str">
        <f>MID(V7,1,1)</f>
        <v>1</v>
      </c>
      <c r="BF7" s="134">
        <f t="shared" si="2"/>
        <v>2</v>
      </c>
      <c r="BH7" s="134">
        <f t="shared" si="3"/>
        <v>0</v>
      </c>
      <c r="BI7" s="134" t="str">
        <f>MID(Z7,1,1)</f>
        <v>1</v>
      </c>
      <c r="BJ7" s="134">
        <f t="shared" si="3"/>
        <v>3</v>
      </c>
      <c r="BL7" s="134">
        <f t="shared" si="3"/>
        <v>0</v>
      </c>
      <c r="BN7" s="134">
        <f t="shared" si="3"/>
        <v>0</v>
      </c>
      <c r="BP7" s="134">
        <f t="shared" si="4"/>
        <v>0</v>
      </c>
      <c r="BR7" s="134">
        <f t="shared" si="4"/>
        <v>0</v>
      </c>
      <c r="BT7" s="134">
        <f t="shared" si="4"/>
        <v>0</v>
      </c>
      <c r="BZ7" s="134">
        <f>VALUE(AU7)</f>
        <v>2</v>
      </c>
      <c r="CE7" s="134">
        <f>VALUE(BE7)</f>
        <v>1</v>
      </c>
      <c r="CG7" s="134">
        <f>VALUE(BI7)</f>
        <v>1</v>
      </c>
      <c r="CL7" s="142"/>
      <c r="CM7" s="134" t="s">
        <v>322</v>
      </c>
      <c r="CN7" s="139">
        <v>1</v>
      </c>
      <c r="CO7" s="139">
        <v>64</v>
      </c>
      <c r="CP7" s="139">
        <v>36864</v>
      </c>
      <c r="CQ7" s="139">
        <v>44789760</v>
      </c>
      <c r="CR7" s="140"/>
      <c r="CS7" s="139">
        <v>4294967296</v>
      </c>
      <c r="CT7" s="139">
        <v>823564528378596</v>
      </c>
      <c r="CU7" s="139">
        <v>6.1558577406620467E+17</v>
      </c>
      <c r="CV7" s="139">
        <v>3.6691771392E+18</v>
      </c>
      <c r="CX7" s="144"/>
      <c r="CY7" s="144"/>
      <c r="CZ7" s="144"/>
      <c r="DA7" s="134">
        <f>IF(AN3=5,AM3,1)*IF(AN4=5,AM4,1)*IF(AN5=5,AM5,1)*IF(AN6=5,AM6,1)*IF(AN7=5,AM7,1)</f>
        <v>1</v>
      </c>
      <c r="DB7" s="134">
        <f>IF(AP3=5,AO3,1)*IF(AP4=5,AO4,1)*IF(AP5=5,AO5,1)*IF(AP6=5,AO6,1)*IF(AP7=5,AO7,1)</f>
        <v>1</v>
      </c>
      <c r="DC7" s="134">
        <f>IF(AR3=5,AQ3,1)*IF(AR4=5,AQ4,1)*IF(AR5=5,AQ5,1)*IF(AR6=5,AQ6,1)*IF(AR7=5,AQ7,1)</f>
        <v>1</v>
      </c>
      <c r="DD7" s="134">
        <f>IF(AT3=5,AS3,1)*IF(AT4=5,AS4,1)*IF(AT5=5,AS5,1)*IF(AT6=5,AS6,1)*IF(AT7=5,AS7,1)</f>
        <v>1</v>
      </c>
      <c r="DE7" s="134">
        <f>IF(AV3=5,AU3,1)*IF(AV4=5,AU4,1)*IF(AV5=5,AU5,1)*IF(AV6=5,AU6,1)*IF(AV7=5,AU7,1)</f>
        <v>2</v>
      </c>
      <c r="DF7" s="134">
        <f>IF(AX3=5,AW3,1)*IF(AX4=5,AW4,1)*IF(AX5=5,AW5,1)*IF(AX6=5,AW6,1)*IF(AX7=5,AW7,1)</f>
        <v>1</v>
      </c>
      <c r="DG7" s="134">
        <f>IF(AZ3=5,AY3,1)*IF(AZ4=5,AY4,1)*IF(AZ5=5,AY5,1)*IF(AZ6=5,AY6,1)*IF(AZ7=5,AY7,1)</f>
        <v>1</v>
      </c>
      <c r="DH7" s="134">
        <f>IF(BB3=5,BA3,1)*IF(BB4=5,BA4,1)*IF(BB5=5,BA5,1)*IF(BB6=5,BA6,1)*IF(BB7=5,BA7,1)</f>
        <v>1</v>
      </c>
      <c r="DI7" s="134">
        <f>IF(BD3=5,BC3,1)*IF(BD4=5,BC4,1)*IF(BD5=5,BC5,1)*IF(BD6=5,BC6,1)*IF(BD7=5,BC7,1)</f>
        <v>1</v>
      </c>
      <c r="DJ7" s="134">
        <f>IF(BF3=5,BE3,1)*IF(BF4=5,BE4,1)*IF(BF5=5,BE5,1)*IF(BF6=5,BE6,1)*IF(BF7=5,BE7,1)</f>
        <v>1</v>
      </c>
      <c r="DK7" s="134">
        <f>IF(BH3=5,BG3,1)*IF(BH4=5,BG4,1)*IF(BH5=5,BG5,1)*IF(BH6=5,BG6,1)*IF(BH7=5,BG7,1)</f>
        <v>1</v>
      </c>
      <c r="DL7" s="134">
        <f>IF(BJ3=5,BI3,1)*IF(BJ4=5,BI4,1)*IF(BJ5=5,BI5,1)*IF(BJ6=5,BI6,1)*IF(BJ7=5,BI7,1)</f>
        <v>1</v>
      </c>
      <c r="DM7" s="134">
        <f>IF(BL3=5,BK3,1)*IF(BL4=5,BK4,1)*IF(BL5=5,BK5,1)*IF(BL6=5,BK6,1)*IF(BL7=5,BK7,1)</f>
        <v>1</v>
      </c>
      <c r="DN7" s="134">
        <f>IF(BN3=5,BM3,1)*IF(BN4=5,BM4,1)*IF(BN5=5,BM5,1)*IF(BN6=5,BM6,1)*IF(BN7=5,BM7,1)</f>
        <v>1</v>
      </c>
      <c r="DO7" s="134">
        <f>IF(BP3=5,BO3,1)*IF(BP4=5,BO4,1)*IF(BP5=5,BO5,1)*IF(BP6=5,BO6,1)*IF(BP7=5,BO7,1)</f>
        <v>1</v>
      </c>
      <c r="DP7" s="134">
        <f>IF(BR3=5,BQ3,1)*IF(BR4=5,BQ4,1)*IF(BR5=5,BQ5,1)*IF(BR6=5,BQ6,1)*IF(BR7=5,BQ7,1)</f>
        <v>1</v>
      </c>
      <c r="DQ7" s="144">
        <f>PRODUCT(DA7:DP7)</f>
        <v>2</v>
      </c>
    </row>
    <row r="8" spans="2:122" s="144" customFormat="1" x14ac:dyDescent="0.25">
      <c r="C8" s="147"/>
      <c r="AN8" s="134">
        <f t="shared" si="6"/>
        <v>0</v>
      </c>
      <c r="AP8" s="134">
        <f t="shared" si="7"/>
        <v>0</v>
      </c>
      <c r="AR8" s="134">
        <f t="shared" si="1"/>
        <v>0</v>
      </c>
      <c r="AT8" s="134">
        <f t="shared" si="1"/>
        <v>0</v>
      </c>
      <c r="AV8" s="134">
        <f t="shared" si="1"/>
        <v>0</v>
      </c>
      <c r="AX8" s="134">
        <f t="shared" si="1"/>
        <v>0</v>
      </c>
      <c r="AZ8" s="134">
        <f t="shared" si="2"/>
        <v>0</v>
      </c>
      <c r="BB8" s="134">
        <f t="shared" si="2"/>
        <v>0</v>
      </c>
      <c r="BD8" s="134">
        <f t="shared" si="2"/>
        <v>0</v>
      </c>
      <c r="BF8" s="134">
        <f t="shared" si="2"/>
        <v>0</v>
      </c>
      <c r="BH8" s="134">
        <f t="shared" si="3"/>
        <v>0</v>
      </c>
      <c r="BJ8" s="134">
        <f t="shared" si="3"/>
        <v>0</v>
      </c>
      <c r="BL8" s="134">
        <f t="shared" si="3"/>
        <v>0</v>
      </c>
      <c r="BN8" s="134">
        <f t="shared" si="3"/>
        <v>0</v>
      </c>
      <c r="BP8" s="134">
        <f t="shared" si="4"/>
        <v>0</v>
      </c>
      <c r="BR8" s="134">
        <f t="shared" si="4"/>
        <v>0</v>
      </c>
      <c r="BT8" s="134">
        <f t="shared" si="4"/>
        <v>0</v>
      </c>
      <c r="BV8" s="144">
        <f>BV5</f>
        <v>2</v>
      </c>
      <c r="BZ8" s="144">
        <f>BZ5*BZ6*BZ7</f>
        <v>4</v>
      </c>
      <c r="CA8" s="144">
        <f>CA4*CA5</f>
        <v>4</v>
      </c>
      <c r="CB8" s="144">
        <f>CB4*CB3</f>
        <v>12</v>
      </c>
      <c r="CC8" s="144">
        <f>CC4*CC5</f>
        <v>1</v>
      </c>
      <c r="CD8" s="144">
        <f>CE3*CE4*CE5*CE6*CE7</f>
        <v>1</v>
      </c>
      <c r="CE8" s="144">
        <f>CE3*CE4*CE5*CE6*CE7</f>
        <v>1</v>
      </c>
      <c r="CF8" s="144">
        <f>CF5</f>
        <v>2</v>
      </c>
      <c r="CG8" s="144">
        <f>CG4*CG5*CG7</f>
        <v>1</v>
      </c>
      <c r="CL8" s="148">
        <f>PRODUCT(BV8:CK8)</f>
        <v>768</v>
      </c>
      <c r="CM8" s="144" t="s">
        <v>323</v>
      </c>
      <c r="CN8" s="149"/>
      <c r="CO8" s="140">
        <f>CO7/CN7</f>
        <v>64</v>
      </c>
      <c r="CP8" s="140">
        <f>CP7/CO7</f>
        <v>576</v>
      </c>
      <c r="CQ8" s="140">
        <f>CQ7/CP7</f>
        <v>1215</v>
      </c>
      <c r="CR8" s="140"/>
      <c r="CS8" s="140">
        <f>CS7/CQ7</f>
        <v>95.89172382258802</v>
      </c>
      <c r="CT8" s="140">
        <f>CT7/CS7</f>
        <v>191751.05923288409</v>
      </c>
      <c r="CU8" s="140">
        <f t="shared" ref="CU8" si="17">CU7/CS7</f>
        <v>143327232</v>
      </c>
      <c r="CV8" s="140">
        <f t="shared" ref="CV8" si="18">CV7/CT7</f>
        <v>4455.2394047661855</v>
      </c>
      <c r="CX8" s="144" t="str">
        <f>IF(CL8&lt;CO1,'cap.7 - analisis riesgos'!$B$15,IF('Eval Factores de Riesgo'!CL8&lt;'Eval Factores de Riesgo'!CP1,'cap.7 - analisis riesgos'!$B$16,IF('Eval Factores de Riesgo'!CL8&lt;'Eval Factores de Riesgo'!CQ1,'cap.7 - analisis riesgos'!$B$17,IF('Eval Factores de Riesgo'!CL8&lt;'Eval Factores de Riesgo'!CS1,'cap.7 - analisis riesgos'!$B$18,'cap.7 - analisis riesgos'!$B$19))))</f>
        <v>Posible</v>
      </c>
      <c r="CY8" s="144">
        <f>IF(CL8&lt;CP1,'cap.7 - analisis riesgos'!$G$15,IF('Eval Factores de Riesgo'!CL8&lt;'Eval Factores de Riesgo'!CQ1,'cap.7 - analisis riesgos'!$G$16,IF('Eval Factores de Riesgo'!CL8&lt;'Eval Factores de Riesgo'!CS1,'cap.7 - analisis riesgos'!$G$17,IF('Eval Factores de Riesgo'!CL8&lt;'Eval Factores de Riesgo'!CT1,'cap.7 - analisis riesgos'!$G$18,'cap.7 - analisis riesgos'!$G$19))))</f>
        <v>2</v>
      </c>
      <c r="CZ8" s="144">
        <f>MAX(DA8:DP8)</f>
        <v>12</v>
      </c>
      <c r="DA8" s="144">
        <f>PRODUCT(DA3:DA7)</f>
        <v>2</v>
      </c>
      <c r="DB8" s="144">
        <f t="shared" ref="DB8:DP8" si="19">PRODUCT(DB3:DB7)</f>
        <v>1</v>
      </c>
      <c r="DC8" s="144">
        <f t="shared" si="19"/>
        <v>1</v>
      </c>
      <c r="DD8" s="144">
        <f t="shared" si="19"/>
        <v>1</v>
      </c>
      <c r="DE8" s="144">
        <f t="shared" si="19"/>
        <v>4</v>
      </c>
      <c r="DF8" s="144">
        <f t="shared" si="19"/>
        <v>4</v>
      </c>
      <c r="DG8" s="144">
        <f t="shared" si="19"/>
        <v>12</v>
      </c>
      <c r="DH8" s="144">
        <f t="shared" si="19"/>
        <v>1</v>
      </c>
      <c r="DI8" s="144">
        <f t="shared" si="19"/>
        <v>1</v>
      </c>
      <c r="DJ8" s="144">
        <f t="shared" si="19"/>
        <v>1</v>
      </c>
      <c r="DK8" s="144">
        <f t="shared" si="19"/>
        <v>2</v>
      </c>
      <c r="DL8" s="144">
        <f t="shared" si="19"/>
        <v>1</v>
      </c>
      <c r="DM8" s="144">
        <f t="shared" si="19"/>
        <v>1</v>
      </c>
      <c r="DN8" s="144">
        <f t="shared" si="19"/>
        <v>1</v>
      </c>
      <c r="DO8" s="144">
        <f t="shared" si="19"/>
        <v>1</v>
      </c>
      <c r="DP8" s="144">
        <f t="shared" si="19"/>
        <v>1</v>
      </c>
    </row>
    <row r="9" spans="2:122" s="144" customFormat="1" x14ac:dyDescent="0.25">
      <c r="C9" s="147"/>
      <c r="AN9" s="134"/>
      <c r="AP9" s="134"/>
      <c r="AR9" s="134"/>
      <c r="AT9" s="134"/>
      <c r="AV9" s="134"/>
      <c r="AX9" s="134"/>
      <c r="AZ9" s="134"/>
      <c r="BB9" s="134"/>
      <c r="BD9" s="134"/>
      <c r="BF9" s="134"/>
      <c r="BH9" s="134"/>
      <c r="BJ9" s="134"/>
      <c r="BL9" s="134"/>
      <c r="BN9" s="134"/>
      <c r="BP9" s="134"/>
      <c r="BR9" s="134"/>
      <c r="BT9" s="134"/>
      <c r="CL9" s="150"/>
      <c r="CN9" s="149"/>
      <c r="CO9" s="140"/>
      <c r="CP9" s="140"/>
      <c r="CQ9" s="140"/>
      <c r="CR9" s="140"/>
      <c r="CS9" s="140"/>
      <c r="CT9" s="140"/>
      <c r="CU9" s="140"/>
      <c r="CV9" s="140"/>
      <c r="DA9" s="144">
        <f>$CZ$8-DA8</f>
        <v>10</v>
      </c>
      <c r="DB9" s="144">
        <f t="shared" ref="DB9:DP9" si="20">$CZ$8-DB8</f>
        <v>11</v>
      </c>
      <c r="DC9" s="144">
        <f t="shared" si="20"/>
        <v>11</v>
      </c>
      <c r="DD9" s="144">
        <f t="shared" si="20"/>
        <v>11</v>
      </c>
      <c r="DE9" s="144">
        <f t="shared" si="20"/>
        <v>8</v>
      </c>
      <c r="DF9" s="144">
        <f t="shared" si="20"/>
        <v>8</v>
      </c>
      <c r="DG9" s="144">
        <f t="shared" si="20"/>
        <v>0</v>
      </c>
      <c r="DH9" s="144">
        <f t="shared" si="20"/>
        <v>11</v>
      </c>
      <c r="DI9" s="144">
        <f t="shared" si="20"/>
        <v>11</v>
      </c>
      <c r="DJ9" s="144">
        <f t="shared" si="20"/>
        <v>11</v>
      </c>
      <c r="DK9" s="144">
        <f t="shared" si="20"/>
        <v>10</v>
      </c>
      <c r="DL9" s="144">
        <f t="shared" si="20"/>
        <v>11</v>
      </c>
      <c r="DM9" s="144">
        <f t="shared" si="20"/>
        <v>11</v>
      </c>
      <c r="DN9" s="144">
        <f t="shared" si="20"/>
        <v>11</v>
      </c>
      <c r="DO9" s="144">
        <f t="shared" si="20"/>
        <v>11</v>
      </c>
      <c r="DP9" s="144">
        <f t="shared" si="20"/>
        <v>11</v>
      </c>
      <c r="DQ9" s="144">
        <f>MATCH(0,DA9:DP9,0)</f>
        <v>7</v>
      </c>
      <c r="DR9" s="144">
        <f>IF(DA9=0,DA2,IF(DB9=0,DB2,IF(DC9=0,DC2,IF(DD9=0,DD2,IF(DE9=0,DE2,IF(DF9=0,DF2,IF(DG9=0,DG2,IF(DH9=0,DH2,IF(DI9=0,DI2,IF(DJ9=0,DJ2,IF(DK9=0,DK2,IF(DL9=0,DL2,IF(DM9=0,DM2,IF(DN9=0,DN2,IF(DO9=0,DO2,DP2)))))))))))))))</f>
        <v>8</v>
      </c>
    </row>
    <row r="10" spans="2:122" x14ac:dyDescent="0.25">
      <c r="C10" s="141" t="s">
        <v>23</v>
      </c>
      <c r="D10" s="136" t="s">
        <v>596</v>
      </c>
      <c r="E10" s="136"/>
      <c r="F10" s="136" t="s">
        <v>595</v>
      </c>
      <c r="G10" s="136"/>
      <c r="H10" s="136" t="s">
        <v>594</v>
      </c>
      <c r="L10" s="137" t="s">
        <v>592</v>
      </c>
      <c r="N10" s="137" t="s">
        <v>593</v>
      </c>
      <c r="P10" s="137" t="s">
        <v>578</v>
      </c>
      <c r="R10" s="137" t="s">
        <v>579</v>
      </c>
      <c r="T10" s="137" t="s">
        <v>580</v>
      </c>
      <c r="V10" s="137" t="s">
        <v>580</v>
      </c>
      <c r="X10" s="137" t="s">
        <v>580</v>
      </c>
      <c r="Z10" s="137" t="s">
        <v>584</v>
      </c>
      <c r="AB10" s="137" t="s">
        <v>585</v>
      </c>
      <c r="AN10" s="134">
        <f t="shared" si="6"/>
        <v>0</v>
      </c>
      <c r="AP10" s="134">
        <f t="shared" si="7"/>
        <v>0</v>
      </c>
      <c r="AR10" s="134">
        <f t="shared" si="1"/>
        <v>0</v>
      </c>
      <c r="AT10" s="134">
        <f t="shared" si="1"/>
        <v>0</v>
      </c>
      <c r="AV10" s="134">
        <f t="shared" si="1"/>
        <v>0</v>
      </c>
      <c r="AX10" s="134">
        <f t="shared" si="1"/>
        <v>0</v>
      </c>
      <c r="AZ10" s="134">
        <f t="shared" si="2"/>
        <v>0</v>
      </c>
      <c r="BB10" s="134">
        <f t="shared" si="2"/>
        <v>0</v>
      </c>
      <c r="BD10" s="134">
        <f t="shared" si="2"/>
        <v>0</v>
      </c>
      <c r="BF10" s="134">
        <f t="shared" si="2"/>
        <v>0</v>
      </c>
      <c r="BH10" s="134">
        <f t="shared" si="3"/>
        <v>0</v>
      </c>
      <c r="BJ10" s="134">
        <f t="shared" si="3"/>
        <v>0</v>
      </c>
      <c r="BL10" s="134">
        <f t="shared" si="3"/>
        <v>0</v>
      </c>
      <c r="BN10" s="134">
        <f t="shared" si="3"/>
        <v>0</v>
      </c>
      <c r="BP10" s="134">
        <f t="shared" si="4"/>
        <v>0</v>
      </c>
      <c r="BR10" s="134">
        <f t="shared" si="4"/>
        <v>0</v>
      </c>
      <c r="BT10" s="134">
        <f t="shared" si="4"/>
        <v>0</v>
      </c>
      <c r="CL10" s="138" t="s">
        <v>317</v>
      </c>
      <c r="CM10" s="134" t="s">
        <v>324</v>
      </c>
      <c r="CN10" s="139">
        <v>1</v>
      </c>
      <c r="CO10" s="139">
        <v>8192</v>
      </c>
      <c r="CP10" s="139">
        <v>786432</v>
      </c>
      <c r="CQ10" s="139">
        <v>2902376448</v>
      </c>
      <c r="CR10" s="140"/>
      <c r="CS10" s="139">
        <v>1168231104512</v>
      </c>
      <c r="CT10" s="139">
        <v>3.6467437316604232E+18</v>
      </c>
      <c r="CU10" s="139">
        <v>2.0250309623681869E+22</v>
      </c>
      <c r="CV10" s="139">
        <v>3.673873685938176E+23</v>
      </c>
      <c r="CX10" s="144"/>
      <c r="CY10" s="144"/>
      <c r="CZ10" s="144"/>
      <c r="DA10" s="143">
        <f>IFERROR(VALUE(MID(D10,1,2)),"")</f>
        <v>1</v>
      </c>
      <c r="DB10" s="143">
        <f>IFERROR(VALUE(MID(F10,1,2)),"")</f>
        <v>2</v>
      </c>
      <c r="DC10" s="143">
        <f>IFERROR(VALUE(MID(H10,1,2)),"")</f>
        <v>3</v>
      </c>
      <c r="DD10" s="143" t="str">
        <f>IFERROR(VALUE(MID(J10,1,2)),"")</f>
        <v/>
      </c>
      <c r="DE10" s="143">
        <f>IFERROR(VALUE(MID(L10,1,2)),"")</f>
        <v>8</v>
      </c>
      <c r="DF10" s="143">
        <f>IFERROR(VALUE(MID(N10,1,2)),"")</f>
        <v>9</v>
      </c>
      <c r="DG10" s="143">
        <f>IFERROR(VALUE(MID(P10,1,2)),"")</f>
        <v>10</v>
      </c>
      <c r="DH10" s="143">
        <f>IFERROR(VALUE(MID(R10,1,2)),"")</f>
        <v>11</v>
      </c>
      <c r="DI10" s="143">
        <f>IFERROR(VALUE(MID(T10,1,2)),"")</f>
        <v>12</v>
      </c>
      <c r="DJ10" s="143">
        <f>IFERROR(VALUE(MID(V10,1,2)),"")</f>
        <v>12</v>
      </c>
      <c r="DK10" s="143">
        <f>IFERROR(VALUE(MID(X10,1,2)),"")</f>
        <v>12</v>
      </c>
      <c r="DL10" s="143">
        <f>IFERROR(VALUE(MID(Z10,1,2)),"")</f>
        <v>15</v>
      </c>
      <c r="DM10" s="143">
        <f>IFERROR(VALUE(MID(AB10,1,2)),"")</f>
        <v>16</v>
      </c>
      <c r="DN10" s="143" t="str">
        <f>IFERROR(VALUE(MID(AD10,1,2)),"")</f>
        <v/>
      </c>
      <c r="DO10" s="143" t="str">
        <f>IFERROR(VALUE(MID(AF10,1,2)),"")</f>
        <v/>
      </c>
      <c r="DP10" s="143" t="str">
        <f>IFERROR(VALUE(MID(AH10,1,2)),"")</f>
        <v/>
      </c>
      <c r="DQ10" s="144"/>
    </row>
    <row r="11" spans="2:122" ht="30" x14ac:dyDescent="0.25">
      <c r="B11" s="134">
        <v>1</v>
      </c>
      <c r="C11" s="135" t="s">
        <v>248</v>
      </c>
      <c r="D11" s="134" t="str">
        <f>Contexto!C14</f>
        <v>3 Algo Relevante</v>
      </c>
      <c r="E11" s="134">
        <v>5</v>
      </c>
      <c r="F11" s="134" t="str">
        <f>Contexto!C23</f>
        <v>4 Muy Relevante</v>
      </c>
      <c r="G11" s="134">
        <v>5</v>
      </c>
      <c r="H11" s="134" t="str">
        <f>Contexto!C27</f>
        <v>4 Muy Relevante</v>
      </c>
      <c r="I11" s="134">
        <v>5</v>
      </c>
      <c r="L11" s="134" t="str">
        <f>'Descripcion Actividades'!C40</f>
        <v>4 Las actividades de transporte son inherentes al cumplimiento del objeto contractual.</v>
      </c>
      <c r="M11" s="134">
        <v>5</v>
      </c>
      <c r="N11" s="145" t="str">
        <f>'Descripcion Actividades'!C51</f>
        <v>1 El contrato no contempla actividades de manipulación y/o suministro de alimentos.</v>
      </c>
      <c r="O11" s="145">
        <v>4</v>
      </c>
      <c r="P11" s="146" t="str">
        <f>'Descripcion Actividades'!C55</f>
        <v>1 El contrato no contempla actividades de manipulación y/o suministro de medicamentos.</v>
      </c>
      <c r="Q11" s="146">
        <v>4</v>
      </c>
      <c r="R11" s="134" t="str">
        <f>'Descripcion Actividades'!C63</f>
        <v>1 Todos los materiales e insumos requeridos son de amplia disponibilidad y accesibilidad.</v>
      </c>
      <c r="S11" s="134">
        <v>5</v>
      </c>
      <c r="T11" s="134" t="str">
        <f>'Descripcion Actividades'!C87</f>
        <v>5 Se requiere aprovisionarse de medios de telecomunicación satelital.</v>
      </c>
      <c r="U11" s="134">
        <v>1</v>
      </c>
      <c r="V11" s="134" t="str">
        <f>'Descripcion Actividades'!C89</f>
        <v>5 Se requiere aprovisionarse de servicio de conectividad satelital.</v>
      </c>
      <c r="W11" s="134">
        <v>1</v>
      </c>
      <c r="Z11" s="134" t="str">
        <f>'Descripcion Actividades'!C123</f>
        <v>4 El contrato contempla una cantidad apreciable de actividades de campo especializadas y/o complejas.</v>
      </c>
      <c r="AA11" s="134">
        <v>1</v>
      </c>
      <c r="AB11" s="134" t="str">
        <f>'Descripcion Actividades'!C131</f>
        <v>1 El contrato no contempla actividades de obra civil.</v>
      </c>
      <c r="AC11" s="134">
        <v>1</v>
      </c>
      <c r="AM11" s="134" t="str">
        <f t="shared" ref="AM11:AM81" si="21">MID(D11,1,1)</f>
        <v>3</v>
      </c>
      <c r="AN11" s="134">
        <f t="shared" si="6"/>
        <v>5</v>
      </c>
      <c r="AO11" s="134" t="str">
        <f t="shared" ref="AO11:AO78" si="22">MID(F11,1,1)</f>
        <v>4</v>
      </c>
      <c r="AP11" s="134">
        <f t="shared" si="7"/>
        <v>5</v>
      </c>
      <c r="AQ11" s="134" t="str">
        <f>MID(H11,1,1)</f>
        <v>4</v>
      </c>
      <c r="AR11" s="134">
        <f t="shared" si="1"/>
        <v>5</v>
      </c>
      <c r="AT11" s="134">
        <f t="shared" si="1"/>
        <v>0</v>
      </c>
      <c r="AU11" s="134" t="str">
        <f>MID(L11,1,1)</f>
        <v>4</v>
      </c>
      <c r="AV11" s="134">
        <f t="shared" si="1"/>
        <v>5</v>
      </c>
      <c r="AW11" s="145" t="str">
        <f>MID(N11,1,1)</f>
        <v>1</v>
      </c>
      <c r="AX11" s="134">
        <f t="shared" si="1"/>
        <v>4</v>
      </c>
      <c r="AY11" s="146" t="str">
        <f t="shared" ref="AY11:AY13" si="23">MID(P11,1,1)</f>
        <v>1</v>
      </c>
      <c r="AZ11" s="134">
        <f t="shared" si="2"/>
        <v>4</v>
      </c>
      <c r="BA11" s="134" t="str">
        <f>MID(R11,1,1)</f>
        <v>1</v>
      </c>
      <c r="BB11" s="134">
        <f t="shared" si="2"/>
        <v>5</v>
      </c>
      <c r="BC11" s="134" t="str">
        <f>MID(T11,1,1)</f>
        <v>5</v>
      </c>
      <c r="BD11" s="134">
        <f t="shared" si="2"/>
        <v>1</v>
      </c>
      <c r="BE11" s="134" t="str">
        <f t="shared" ref="BE11:BE12" si="24">MID(V11,1,1)</f>
        <v>5</v>
      </c>
      <c r="BF11" s="134">
        <f t="shared" si="2"/>
        <v>1</v>
      </c>
      <c r="BH11" s="134">
        <f t="shared" si="3"/>
        <v>0</v>
      </c>
      <c r="BI11" s="134" t="str">
        <f>MID(Z11,1,1)</f>
        <v>4</v>
      </c>
      <c r="BJ11" s="134">
        <f t="shared" si="3"/>
        <v>1</v>
      </c>
      <c r="BK11" s="134" t="str">
        <f t="shared" ref="BK11:BK16" si="25">MID(AB11,1,1)</f>
        <v>1</v>
      </c>
      <c r="BL11" s="134">
        <f t="shared" si="3"/>
        <v>1</v>
      </c>
      <c r="BN11" s="134">
        <f t="shared" si="3"/>
        <v>0</v>
      </c>
      <c r="BP11" s="134">
        <f t="shared" si="4"/>
        <v>0</v>
      </c>
      <c r="BR11" s="134">
        <f t="shared" si="4"/>
        <v>0</v>
      </c>
      <c r="BT11" s="134">
        <f t="shared" si="4"/>
        <v>0</v>
      </c>
      <c r="BV11" s="134">
        <f t="shared" si="14"/>
        <v>3</v>
      </c>
      <c r="BW11" s="134">
        <f>VALUE(AO11)</f>
        <v>4</v>
      </c>
      <c r="BX11" s="134">
        <f t="shared" ref="BX11" si="26">VALUE(AQ11)</f>
        <v>4</v>
      </c>
      <c r="BZ11" s="134">
        <f>VALUE(AU11)</f>
        <v>4</v>
      </c>
      <c r="CA11" s="145">
        <f>VALUE(AW11)</f>
        <v>1</v>
      </c>
      <c r="CB11" s="146">
        <f t="shared" ref="CB11:CB13" si="27">VALUE(AY11)</f>
        <v>1</v>
      </c>
      <c r="CC11" s="134">
        <f>VALUE(BA11)</f>
        <v>1</v>
      </c>
      <c r="CD11" s="134">
        <f>VALUE(BC11)</f>
        <v>5</v>
      </c>
      <c r="CE11" s="134">
        <f t="shared" ref="CE11:CE12" si="28">VALUE(BE11)</f>
        <v>5</v>
      </c>
      <c r="CG11" s="134">
        <f>VALUE(BI11)</f>
        <v>4</v>
      </c>
      <c r="CH11" s="134">
        <f t="shared" ref="CH11:CH16" si="29">VALUE(BK11)</f>
        <v>1</v>
      </c>
      <c r="CL11" s="142"/>
      <c r="CM11" s="134" t="s">
        <v>325</v>
      </c>
      <c r="CN11" s="140"/>
      <c r="CO11" s="140">
        <f>CO10/CN10</f>
        <v>8192</v>
      </c>
      <c r="CP11" s="140">
        <f>CP10/CO10</f>
        <v>96</v>
      </c>
      <c r="CQ11" s="140">
        <f>CQ10/CP10</f>
        <v>3690.5625</v>
      </c>
      <c r="CR11" s="140"/>
      <c r="CS11" s="140">
        <f>CS10/CQ10</f>
        <v>402.50847036641886</v>
      </c>
      <c r="CT11" s="140">
        <f>CT10/CS10</f>
        <v>3121594.4495706279</v>
      </c>
      <c r="CU11" s="140">
        <f t="shared" ref="CU11" si="30">CU10/CS10</f>
        <v>17334164058.35294</v>
      </c>
      <c r="CV11" s="140">
        <f t="shared" ref="CV11" si="31">CV10/CT10</f>
        <v>100743.95011753129</v>
      </c>
      <c r="CX11" s="144"/>
      <c r="CY11" s="144"/>
      <c r="CZ11" s="144"/>
      <c r="DA11" s="134">
        <f>IF(AN11=1,AM11,1)*IF(AN12=1,AM12,1)*IF(AN13=1,AM13,1)*IF(AN14=1,AM14,1)*IF(AN15=1,AM15,1)*IF(AN16=1,AM16,1)</f>
        <v>1</v>
      </c>
      <c r="DB11" s="134">
        <f>IF(AP11=1,AO11,1)*IF(AP12=1,AO12,1)*IF(AP13=1,AO13,1)*IF(AP14=1,AO14,1)*IF(AP15=1,AO15,1)*IF(AP16=1,AN16,1)</f>
        <v>1</v>
      </c>
      <c r="DC11" s="134">
        <f>IF(AR11=1,AQ11,1)*IF(AR12=1,AQ12,1)*IF(AR13=1,AQ13,1)*IF(AR14=1,AQ14,1)*IF(AR15=1,AQ15,1)*IF(AR16=1,AQ16,1)</f>
        <v>1</v>
      </c>
      <c r="DD11" s="134">
        <f>IF(AT11=1,AS11,1)*IF(AT12=1,AS12,1)*IF(AT13=1,AS13,1)*IF(AT14=1,AS14,1)*IF(AT15=1,AS15,1)*IF(AT16=1,AS16,1)</f>
        <v>1</v>
      </c>
      <c r="DE11" s="134">
        <f>IF(AV11=1,AU11,1)*IF(AV12=1,AU12,1)*IF(AV13=1,AU13,1)*IF(AV14=1,AU14,1)*IF(AV15=1,AU15,1)*IF(AV16=1,AU16,1)</f>
        <v>1</v>
      </c>
      <c r="DF11" s="134">
        <f>IF(AX11=1,AW11,1)*IF(AX12=1,AW12,1)*IF(AX13=1,AW13,1)*IF(AX14=1,AW14,1)*IF(AX15=1,AW15,1)*IF(AX16=1,AW16,1)</f>
        <v>1</v>
      </c>
      <c r="DG11" s="134">
        <f>IF(AZ11=1,AY11,1)*IF(AZ12=1,AY12,1)*IF(AZ13=1,AY13,1)*IF(AZ14=1,AY14,1)*IF(AZ15=1,AY15,1)*IF(AZ16=1,AY16,1)</f>
        <v>1</v>
      </c>
      <c r="DH11" s="134">
        <f>IF(BB11=1,BA11,1)*IF(BB12=1,BA12,1)*IF(BB13=1,BA13,1)*IF(BB14=1,BA14,1)*IF(BB15=1,BA15,1)*IF(BB16=1,BA16,1)</f>
        <v>1</v>
      </c>
      <c r="DI11" s="134">
        <f>IF(BD11=1,BC11,1)*IF(BD12=1,BC12,1)*IF(BD13=1,BC13,1)*IF(BD14=1,BC14,1)*IF(BD15=1,BC15,1)*IF(BD16=1,BC16,1)</f>
        <v>5</v>
      </c>
      <c r="DJ11" s="134">
        <f>IF(BF11=1,BE11,1)*IF(BF12=1,BE12,1)*IF(BF13=1,BE13,1)*IF(BF14=1,BE14,1)*IF(BF15=1,BE15,1)*IF(BF16=1,BE16,1)</f>
        <v>80</v>
      </c>
      <c r="DK11" s="134">
        <f>IF(BH11=1,BG11,1)*IF(BH12=1,BG12,1)*IF(BH13=1,BG13,1)*IF(BH14=1,BG14,1)*IF(BH15=1,BG15,1)*IF(BH16=1,BG16,1)</f>
        <v>1</v>
      </c>
      <c r="DL11" s="134">
        <f>IF(BJ11=1,BI11,1)*IF(BJ12=1,BI12,1)*IF(BJ13=1,BI13,1)*IF(BJ14=1,BI14,1)*IF(BJ15=1,BI15,1)*IF(BJ16=1,BI16,1)</f>
        <v>4</v>
      </c>
      <c r="DM11" s="134">
        <f>IF(BL11=1,BK11,1)*IF(BL12=1,BK12,1)*IF(BL13=1,BK13,1)*IF(BL14=1,BK14,1)*IF(BL15=1,BK15,1)*IF(BL16=1,BK16,1)</f>
        <v>1</v>
      </c>
      <c r="DN11" s="134">
        <f>IF(BN11=1,BM11,1)*IF(BN12=1,BM12,1)*IF(BN13=1,BM13,1)*IF(BN14=1,BM14,1)*IF(BN15=1,BM15,1)*IF(BN16=1,BM16,1)</f>
        <v>1</v>
      </c>
      <c r="DO11" s="134">
        <f>IF(BP11=1,BO11,1)*IF(BP12=1,BO12,1)*IF(BP13=1,BO13,1)*IF(BP14=1,BO14,1)*IF(BP15=1,BO15,1)*IF(BP16=1,BO16,1)</f>
        <v>1</v>
      </c>
      <c r="DP11" s="134">
        <f>IF(BR11=1,BQ11,1)*IF(BR12=1,BQ12,1)*IF(BR13=1,BQ13,1)*IF(BR14=1,BQ14,1)*IF(BR15=1,BQ15,1)*IF(BR16=1,BQ16,1)</f>
        <v>1</v>
      </c>
      <c r="DQ11" s="144">
        <f t="shared" ref="DQ11:DQ16" si="32">PRODUCT(DA11:DP11)</f>
        <v>1600</v>
      </c>
      <c r="DR11" s="134">
        <f>IF((DQ11-MAX(DQ11:DQ16))=0,B11,IF((DQ12-MAX(DQ11:DQ16))=0,B12,IF((DQ13-MAX(DQ11:DQ16))=0,B13,IF((DQ14-MAX(DQ11:DQ16))=0,B14,IF((DQ15-MAX(DQ11:DQ16))=0,B15,B16)))))</f>
        <v>5</v>
      </c>
    </row>
    <row r="12" spans="2:122" x14ac:dyDescent="0.25">
      <c r="B12" s="134">
        <v>2</v>
      </c>
      <c r="C12" s="135" t="s">
        <v>249</v>
      </c>
      <c r="L12" s="134" t="str">
        <f>'Descripcion Actividades'!C42</f>
        <v>3 Las actividades de transporte son frecuentes y periódicas</v>
      </c>
      <c r="M12" s="134">
        <v>5</v>
      </c>
      <c r="R12" s="134" t="str">
        <f>'Descripcion Actividades'!C73</f>
        <v>1 Los materiales e insumos son todos de origen nacional.</v>
      </c>
      <c r="S12" s="134">
        <v>5</v>
      </c>
      <c r="T12" s="134" t="str">
        <f>'Descripcion Actividades'!C81</f>
        <v>1 El suministro de agua no es relevante para la ejecución del contrato.</v>
      </c>
      <c r="U12" s="134">
        <v>2</v>
      </c>
      <c r="V12" s="134" t="str">
        <f>'Descripcion Actividades'!C91</f>
        <v>4 Se requiere el procesamiento de un alto volumen de datos, es relevante para la ejecución del contrato y se realiza con un tercero.</v>
      </c>
      <c r="W12" s="134">
        <v>1</v>
      </c>
      <c r="X12" s="134" t="str">
        <f>'Descripcion Actividades'!C105</f>
        <v>1 No se requieren disposición de residuos o escombros.</v>
      </c>
      <c r="Y12" s="134">
        <v>6</v>
      </c>
      <c r="AB12" s="134" t="str">
        <f>'Descripcion Actividades'!C133</f>
        <v>1 Se contempla un único frente de obra.</v>
      </c>
      <c r="AC12" s="134">
        <v>6</v>
      </c>
      <c r="AN12" s="134">
        <f t="shared" si="6"/>
        <v>0</v>
      </c>
      <c r="AP12" s="134">
        <f t="shared" si="7"/>
        <v>0</v>
      </c>
      <c r="AR12" s="134">
        <f t="shared" si="1"/>
        <v>0</v>
      </c>
      <c r="AT12" s="134">
        <f t="shared" si="1"/>
        <v>0</v>
      </c>
      <c r="AU12" s="134" t="str">
        <f>MID(L12,1,1)</f>
        <v>3</v>
      </c>
      <c r="AV12" s="134">
        <f t="shared" si="1"/>
        <v>5</v>
      </c>
      <c r="AX12" s="134">
        <f t="shared" si="1"/>
        <v>0</v>
      </c>
      <c r="AZ12" s="134">
        <f t="shared" si="2"/>
        <v>0</v>
      </c>
      <c r="BA12" s="134" t="str">
        <f>MID(R12,1,1)</f>
        <v>1</v>
      </c>
      <c r="BB12" s="134">
        <f t="shared" si="2"/>
        <v>5</v>
      </c>
      <c r="BC12" s="134" t="str">
        <f>MID(T12,1,1)</f>
        <v>1</v>
      </c>
      <c r="BD12" s="134">
        <f t="shared" si="2"/>
        <v>2</v>
      </c>
      <c r="BE12" s="134" t="str">
        <f t="shared" si="24"/>
        <v>4</v>
      </c>
      <c r="BF12" s="134">
        <f t="shared" si="2"/>
        <v>1</v>
      </c>
      <c r="BG12" s="134" t="str">
        <f>MID(X12,1,1)</f>
        <v>1</v>
      </c>
      <c r="BH12" s="134">
        <f t="shared" si="3"/>
        <v>6</v>
      </c>
      <c r="BJ12" s="134">
        <f t="shared" si="3"/>
        <v>0</v>
      </c>
      <c r="BK12" s="134" t="str">
        <f t="shared" si="25"/>
        <v>1</v>
      </c>
      <c r="BL12" s="134">
        <f t="shared" si="3"/>
        <v>6</v>
      </c>
      <c r="BN12" s="134">
        <f t="shared" si="3"/>
        <v>0</v>
      </c>
      <c r="BP12" s="134">
        <f t="shared" si="4"/>
        <v>0</v>
      </c>
      <c r="BR12" s="134">
        <f t="shared" si="4"/>
        <v>0</v>
      </c>
      <c r="BT12" s="134">
        <f t="shared" si="4"/>
        <v>0</v>
      </c>
      <c r="BZ12" s="134">
        <f>VALUE(AU12)</f>
        <v>3</v>
      </c>
      <c r="CC12" s="134">
        <f>VALUE(BA12)</f>
        <v>1</v>
      </c>
      <c r="CD12" s="134">
        <f>VALUE(BC12)</f>
        <v>1</v>
      </c>
      <c r="CE12" s="134">
        <f t="shared" si="28"/>
        <v>4</v>
      </c>
      <c r="CF12" s="134">
        <f>VALUE(BG12)</f>
        <v>1</v>
      </c>
      <c r="CH12" s="134">
        <f t="shared" si="29"/>
        <v>1</v>
      </c>
      <c r="CL12" s="142"/>
      <c r="CN12" s="139">
        <v>1</v>
      </c>
      <c r="CO12" s="139">
        <v>16384</v>
      </c>
      <c r="CP12" s="139">
        <v>12582912</v>
      </c>
      <c r="CQ12" s="139">
        <v>52242776064</v>
      </c>
      <c r="CR12" s="140"/>
      <c r="CS12" s="139">
        <v>8796093022208</v>
      </c>
      <c r="CT12" s="139">
        <v>4.3767595652604939E+20</v>
      </c>
      <c r="CU12" s="139">
        <v>7.7458616235269356E+24</v>
      </c>
      <c r="CV12" s="139">
        <v>1.761205026816E+26</v>
      </c>
      <c r="CX12" s="144"/>
      <c r="CY12" s="144"/>
      <c r="CZ12" s="144"/>
      <c r="DA12" s="134">
        <f>IF(AN11=2,AM11,1)*IF(AN12=2,AM12,1)*IF(AN13=2,AM13,1)*IF(AN14=2,AM14,1)*IF(AN15=2,AM15,1)*IF(AN16=2,AM16,1)</f>
        <v>1</v>
      </c>
      <c r="DB12" s="134">
        <f>IF(AP11=2,AO11,1)*IF(AP12=2,AO12,1)*IF(AP13=2,AO13,1)*IF(AP14=2,AO14,1)*IF(AP15=2,AO15,1)*IF(AP16=2,AN16,1)</f>
        <v>1</v>
      </c>
      <c r="DC12" s="134">
        <f>IF(AR11=2,AQ11,1)*IF(AR12=2,AQ12,1)*IF(AR13=2,AQ13,1)*IF(AR14=2,AQ14,1)*IF(AR15=2,AQ15,1)*IF(AR16=2,AQ16,1)</f>
        <v>1</v>
      </c>
      <c r="DD12" s="134">
        <f>IF(AT11=2,AS11,1)*IF(AT12=2,AS12,1)*IF(AT13=2,AS13,1)*IF(AT14=2,AS14,1)*IF(AT15=2,AS15,1)*IF(AT16=2,AS16,1)</f>
        <v>1</v>
      </c>
      <c r="DE12" s="134">
        <f>IF(AV11=2,AU11,1)*IF(AV12=2,AU12,1)*IF(AV13=2,AU13,1)*IF(AV14=2,AU14,1)*IF(AV15=2,AU15,1)*IF(AV16=2,AU16,1)</f>
        <v>1</v>
      </c>
      <c r="DF12" s="134">
        <f>IF(AX11=2,AW11,1)*IF(AX12=2,AW12,1)*IF(AX13=2,AW13,1)*IF(AX14=2,AW14,1)*IF(AX15=2,AW15,1)*IF(AX16=2,AW16,1)</f>
        <v>1</v>
      </c>
      <c r="DG12" s="134">
        <f>IF(AZ11=2,AY11,1)*IF(AZ12=2,AY12,1)*IF(AZ13=2,AY13,1)*IF(AZ14=2,AY14,1)*IF(AZ15=2,AY15,1)*IF(AZ16=2,AY16,1)</f>
        <v>1</v>
      </c>
      <c r="DH12" s="134">
        <f>IF(BB11=2,BA11,1)*IF(BB12=2,BA12,1)*IF(BB13=2,BA13,1)*IF(BB14=2,BA14,1)*IF(BB15=2,BA15,1)*IF(BB16=2,BA16,1)</f>
        <v>1</v>
      </c>
      <c r="DI12" s="134">
        <f>IF(BD11=2,BC11,1)*IF(BD12=2,BC12,1)*IF(BD13=2,BC13,1)*IF(BD14=2,BC14,1)*IF(BD15=2,BC15,1)*IF(BD16=2,BC16,1)</f>
        <v>2</v>
      </c>
      <c r="DJ12" s="134">
        <f>IF(BF11=2,BE11,1)*IF(BF12=2,BE12,1)*IF(BF13=2,BE13,1)*IF(BF14=2,BE14,1)*IF(BF15=2,BE15,1)*IF(BF16=2,BE16,1)</f>
        <v>1</v>
      </c>
      <c r="DK12" s="134">
        <f>IF(BH11=2,BG11,1)*IF(BH12=2,BG12,1)*IF(BH13=2,BG13,1)*IF(BH14=2,BG14,1)*IF(BH15=2,BG15,1)*IF(BH16=2,BG16,1)</f>
        <v>1</v>
      </c>
      <c r="DL12" s="134">
        <f>IF(BJ11=2,BI11,1)*IF(BJ12=2,BI12,1)*IF(BJ13=2,BI13,1)*IF(BJ14=2,BI14,1)*IF(BJ15=2,BI15,1)*IF(BJ16=2,BI16,1)</f>
        <v>1</v>
      </c>
      <c r="DM12" s="134">
        <f>IF(BL11=2,BK11,1)*IF(BL12=2,BK12,1)*IF(BL13=2,BK13,1)*IF(BL14=2,BK14,1)*IF(BL15=2,BK15,1)*IF(BL16=2,BK16,1)</f>
        <v>1</v>
      </c>
      <c r="DN12" s="134">
        <f>IF(BN11=2,BM11,1)*IF(BN12=2,BM12,1)*IF(BN13=2,BM13,1)*IF(BN14=2,BM14,1)*IF(BN15=2,BM15,1)*IF(BN16=2,BM16,1)</f>
        <v>1</v>
      </c>
      <c r="DO12" s="134">
        <f>IF(BP11=2,BO11,1)*IF(BP12=2,BO12,1)*IF(BP13=2,BO13,1)*IF(BP14=2,BO14,1)*IF(BP15=2,BO15,1)*IF(BP16=2,BO16,1)</f>
        <v>1</v>
      </c>
      <c r="DP12" s="134">
        <f>IF(BR11=2,BQ11,1)*IF(BR12=2,BQ12,1)*IF(BR13=2,BQ13,1)*IF(BR14=2,BQ14,1)*IF(BR15=2,BQ15,1)*IF(BR16=2,BQ16,1)</f>
        <v>1</v>
      </c>
      <c r="DQ12" s="144">
        <f t="shared" si="32"/>
        <v>2</v>
      </c>
    </row>
    <row r="13" spans="2:122" x14ac:dyDescent="0.25">
      <c r="B13" s="134">
        <v>3</v>
      </c>
      <c r="C13" s="135" t="s">
        <v>250</v>
      </c>
      <c r="H13" s="134" t="str">
        <f>Contexto!C33</f>
        <v>3 La vía debe cumplir requisitos de ancho y estado de la capa de rodadura.</v>
      </c>
      <c r="I13" s="134">
        <v>5</v>
      </c>
      <c r="N13" s="134" t="str">
        <f>'Descripcion Actividades'!C53</f>
        <v>1 Nada Relevante</v>
      </c>
      <c r="O13" s="134">
        <v>4</v>
      </c>
      <c r="P13" s="146" t="str">
        <f>'Descripcion Actividades'!C57</f>
        <v>1 Nada Relevante</v>
      </c>
      <c r="Q13" s="146">
        <v>4</v>
      </c>
      <c r="T13" s="134" t="str">
        <f>'Descripcion Actividades'!C83</f>
        <v>2 Se cuenta con red de suministro de energía eléctrica y está disponible todo el tiempo.</v>
      </c>
      <c r="U13" s="134">
        <v>2</v>
      </c>
      <c r="V13" s="134" t="str">
        <f>'Descripcion Actividades'!C93</f>
        <v>4 Se requiere el almacenamiento de un alto volumen de datos, es relevante para la ejecución del contrato y se realiza con un tercero.</v>
      </c>
      <c r="W13" s="134">
        <v>1</v>
      </c>
      <c r="X13" s="134" t="str">
        <f>'Descripcion Actividades'!C103</f>
        <v>2 Se requieren algunos ensayos de laboratorio y su disponibilidad es amplia.</v>
      </c>
      <c r="Y13" s="134">
        <v>3</v>
      </c>
      <c r="AB13" s="134" t="str">
        <f>'Descripcion Actividades'!C141</f>
        <v>1 La obra no contempla actividades bajo el agua.</v>
      </c>
      <c r="AC13" s="134">
        <v>6</v>
      </c>
      <c r="AN13" s="134">
        <f t="shared" si="6"/>
        <v>0</v>
      </c>
      <c r="AP13" s="134">
        <f t="shared" si="7"/>
        <v>0</v>
      </c>
      <c r="AQ13" s="134" t="str">
        <f>MID(H13,1,1)</f>
        <v>3</v>
      </c>
      <c r="AR13" s="134">
        <f t="shared" si="1"/>
        <v>5</v>
      </c>
      <c r="AT13" s="134">
        <f t="shared" si="1"/>
        <v>0</v>
      </c>
      <c r="AV13" s="134">
        <f t="shared" si="1"/>
        <v>0</v>
      </c>
      <c r="AW13" s="145" t="str">
        <f>MID(N13,1,1)</f>
        <v>1</v>
      </c>
      <c r="AX13" s="134">
        <f t="shared" si="1"/>
        <v>4</v>
      </c>
      <c r="AY13" s="146" t="str">
        <f t="shared" si="23"/>
        <v>1</v>
      </c>
      <c r="AZ13" s="134">
        <f t="shared" si="2"/>
        <v>4</v>
      </c>
      <c r="BB13" s="134">
        <f t="shared" si="2"/>
        <v>0</v>
      </c>
      <c r="BC13" s="134" t="str">
        <f>MID(T13,1,1)</f>
        <v>2</v>
      </c>
      <c r="BD13" s="134">
        <f t="shared" si="2"/>
        <v>2</v>
      </c>
      <c r="BE13" s="134" t="str">
        <f>MID(V13,1,1)</f>
        <v>4</v>
      </c>
      <c r="BF13" s="134">
        <f t="shared" si="2"/>
        <v>1</v>
      </c>
      <c r="BG13" s="134" t="str">
        <f>MID(X13,1,1)</f>
        <v>2</v>
      </c>
      <c r="BH13" s="134">
        <f t="shared" si="3"/>
        <v>3</v>
      </c>
      <c r="BJ13" s="134">
        <f t="shared" si="3"/>
        <v>0</v>
      </c>
      <c r="BK13" s="134" t="str">
        <f t="shared" si="25"/>
        <v>1</v>
      </c>
      <c r="BL13" s="134">
        <f t="shared" si="3"/>
        <v>6</v>
      </c>
      <c r="BN13" s="134">
        <f t="shared" si="3"/>
        <v>0</v>
      </c>
      <c r="BP13" s="134">
        <f t="shared" si="4"/>
        <v>0</v>
      </c>
      <c r="BR13" s="134">
        <f t="shared" si="4"/>
        <v>0</v>
      </c>
      <c r="BT13" s="134">
        <f t="shared" si="4"/>
        <v>0</v>
      </c>
      <c r="BX13" s="134">
        <f>VALUE(AQ13)</f>
        <v>3</v>
      </c>
      <c r="CA13" s="145">
        <f>VALUE(AW13)</f>
        <v>1</v>
      </c>
      <c r="CB13" s="146">
        <f t="shared" si="27"/>
        <v>1</v>
      </c>
      <c r="CD13" s="134">
        <f>VALUE(BC13)</f>
        <v>2</v>
      </c>
      <c r="CE13" s="134">
        <f>VALUE(BE13)</f>
        <v>4</v>
      </c>
      <c r="CF13" s="134">
        <f>VALUE(BG13)</f>
        <v>2</v>
      </c>
      <c r="CH13" s="134">
        <f t="shared" si="29"/>
        <v>1</v>
      </c>
      <c r="CL13" s="142"/>
      <c r="CN13" s="140"/>
      <c r="CO13" s="140">
        <f>CO12/CN12</f>
        <v>16384</v>
      </c>
      <c r="CP13" s="140">
        <f>CP12/CO12</f>
        <v>768</v>
      </c>
      <c r="CQ13" s="140">
        <f>CQ12/CP12</f>
        <v>4151.8828125</v>
      </c>
      <c r="CR13" s="140"/>
      <c r="CS13" s="140">
        <f>CS12/CQ12</f>
        <v>168.36955623170462</v>
      </c>
      <c r="CT13" s="140">
        <f>CT12/CS12</f>
        <v>49757995.44423005</v>
      </c>
      <c r="CU13" s="140">
        <f t="shared" ref="CU13" si="33">CU12/CS12</f>
        <v>880602513408</v>
      </c>
      <c r="CV13" s="140">
        <f t="shared" ref="CV13" si="34">CV12/CT12</f>
        <v>402399.3094789015</v>
      </c>
      <c r="CX13" s="144"/>
      <c r="CY13" s="144"/>
      <c r="CZ13" s="144"/>
      <c r="DA13" s="134">
        <f>IF(AN11=3,AM11,1)*IF(AN12=3,AM12,1)*IF(AN13=3,AM13,1)*IF(AN14=3,AM14,1)*IF(AN15=3,AM15,1)*IF(AN16=3,AM16,1)</f>
        <v>1</v>
      </c>
      <c r="DB13" s="134">
        <f>IF(AP11=3,AO11,1)*IF(AP12=3,AO12,1)*IF(AP13=3,AO13,1)*IF(AP14=3,AO14,1)*IF(AP15=3,AO15,1)*IF(AP16=3,AN16,1)</f>
        <v>1</v>
      </c>
      <c r="DC13" s="134">
        <f>IF(AR11=3,AQ11,1)*IF(AR12=3,AQ12,1)*IF(AR13=3,AQ13,1)*IF(AR14=3,AQ14,1)*IF(AR15=3,AQ15,1)*IF(AR16=3,AQ16,1)</f>
        <v>1</v>
      </c>
      <c r="DD13" s="134">
        <f>IF(AT11=3,AS11,1)*IF(AT12=3,AS12,1)*IF(AT13=3,AS13,1)*IF(AT14=3,AS14,1)*IF(AT15=3,AS15,1)*IF(AT16=3,AS16,1)</f>
        <v>1</v>
      </c>
      <c r="DE13" s="134">
        <f>IF(AV11=3,AU11,1)*IF(AV12=3,AU12,1)*IF(AV13=3,AU13,1)*IF(AV14=3,AU14,1)*IF(AV15=3,AU15,1)*IF(AV16=3,AU16,1)</f>
        <v>1</v>
      </c>
      <c r="DF13" s="134">
        <f>IF(AX11=3,AW11,1)*IF(AX12=3,AW12,1)*IF(AX13=3,AW13,1)*IF(AX14=3,AW14,1)*IF(AX15=3,AW15,1)*IF(AX16=3,AW16,1)</f>
        <v>1</v>
      </c>
      <c r="DG13" s="134">
        <f>IF(AZ11=3,AY11,1)*IF(AZ12=3,AY12,1)*IF(AZ13=3,AY13,1)*IF(AZ14=3,AY14,1)*IF(AZ15=3,AY15,1)*IF(AZ16=3,AY16,1)</f>
        <v>1</v>
      </c>
      <c r="DH13" s="134">
        <f>IF(BB11=3,BA11,1)*IF(BB12=3,BA12,1)*IF(BB13=3,BA13,1)*IF(BB14=3,BA14,1)*IF(BB15=3,BA15,1)*IF(BB16=3,BA16,1)</f>
        <v>1</v>
      </c>
      <c r="DI13" s="134">
        <f>IF(BD11=3,BC11,1)*IF(BD12=3,BC12,1)*IF(BD13=3,BC13,1)*IF(BD14=3,BC14,1)*IF(BD15=3,BC15,1)*IF(BD16=3,BC16,1)</f>
        <v>1</v>
      </c>
      <c r="DJ13" s="134">
        <f>IF(BF11=3,BE11,1)*IF(BF12=3,BE12,1)*IF(BF13=3,BE13,1)*IF(BF14=3,BE14,1)*IF(BF15=3,BE15,1)*IF(BF16=3,BE16,1)</f>
        <v>1</v>
      </c>
      <c r="DK13" s="134">
        <f>IF(BH11=3,BG11,1)*IF(BH12=3,BG12,1)*IF(BH13=3,BG13,1)*IF(BH14=3,BG14,1)*IF(BH15=3,BG15,1)*IF(BH16=3,BG16,1)</f>
        <v>2</v>
      </c>
      <c r="DL13" s="134">
        <f>IF(BJ11=3,BI11,1)*IF(BJ12=3,BI12,1)*IF(BJ13=3,BI13,1)*IF(BJ14=3,BI14,1)*IF(BJ15=3,BI15,1)*IF(BJ16=3,BI16,1)</f>
        <v>1</v>
      </c>
      <c r="DM13" s="134">
        <f>IF(BL11=3,BK11,1)*IF(BL12=3,BK12,1)*IF(BL13=3,BK13,1)*IF(BL14=3,BK14,1)*IF(BL15=3,BK15,1)*IF(BL16=3,BK16,1)</f>
        <v>1</v>
      </c>
      <c r="DN13" s="134">
        <f>IF(BN11=3,BM11,1)*IF(BN12=3,BM12,1)*IF(BN13=3,BM13,1)*IF(BN14=3,BM14,1)*IF(BN15=3,BM15,1)*IF(BN16=3,BM16,1)</f>
        <v>1</v>
      </c>
      <c r="DO13" s="134">
        <f>IF(BP11=3,BO11,1)*IF(BP12=3,BO12,1)*IF(BP13=3,BO13,1)*IF(BP14=3,BO14,1)*IF(BP15=3,BO15,1)*IF(BP16=3,BO16,1)</f>
        <v>1</v>
      </c>
      <c r="DP13" s="134">
        <f>IF(BR11=3,BQ11,1)*IF(BR12=3,BQ12,1)*IF(BR13=3,BQ13,1)*IF(BR14=3,BQ14,1)*IF(BR15=3,BQ15,1)*IF(BR16=3,BQ16,1)</f>
        <v>1</v>
      </c>
      <c r="DQ13" s="144">
        <f t="shared" si="32"/>
        <v>2</v>
      </c>
    </row>
    <row r="14" spans="2:122" x14ac:dyDescent="0.25">
      <c r="B14" s="134">
        <v>4</v>
      </c>
      <c r="C14" s="135" t="s">
        <v>251</v>
      </c>
      <c r="D14" s="134" t="str">
        <f>Contexto!C18</f>
        <v>1 Las condiciones de tormentas eléctricas no son relevantes para el contrato.</v>
      </c>
      <c r="E14" s="134">
        <v>4</v>
      </c>
      <c r="F14" s="134" t="str">
        <f>Contexto!C25</f>
        <v>3 Las eventos como inundaciones, movimientos de masas o incendios forestales son frecuentes.</v>
      </c>
      <c r="G14" s="134">
        <v>5</v>
      </c>
      <c r="H14" s="134" t="str">
        <f>Contexto!C31</f>
        <v>4 Las vías presentan deterioro y el tráfico es voluminoso.</v>
      </c>
      <c r="I14" s="134">
        <v>5</v>
      </c>
      <c r="R14" s="134" t="str">
        <f>'Descripcion Actividades'!C75</f>
        <v>1 No se contemplan materiales e insumos perecederos para la ejecución del contrato.</v>
      </c>
      <c r="S14" s="134">
        <v>4</v>
      </c>
      <c r="T14" s="134" t="str">
        <f>'Descripcion Actividades'!C85</f>
        <v>1 El suministro de gas no es relevante para la ejecución del contrato.</v>
      </c>
      <c r="U14" s="134">
        <v>2</v>
      </c>
      <c r="V14" s="134" t="str">
        <f>'Descripcion Actividades'!C95</f>
        <v>1 No se requiere servicio de sonido en el contrato</v>
      </c>
      <c r="W14" s="134">
        <v>3</v>
      </c>
      <c r="X14" s="134" t="str">
        <f>'Descripcion Actividades'!C101</f>
        <v>2 Se requieren algunos servicios sanitarios y su disponibilidad es amplia.</v>
      </c>
      <c r="Y14" s="134">
        <v>6</v>
      </c>
      <c r="AB14" s="134" t="str">
        <f>'Descripcion Actividades'!C137</f>
        <v>1 La obra contempla actividades a nivel de piso.</v>
      </c>
      <c r="AC14" s="134">
        <v>3</v>
      </c>
      <c r="AM14" s="134" t="str">
        <f t="shared" si="21"/>
        <v>1</v>
      </c>
      <c r="AN14" s="134">
        <f t="shared" si="6"/>
        <v>4</v>
      </c>
      <c r="AO14" s="134" t="str">
        <f t="shared" si="22"/>
        <v>3</v>
      </c>
      <c r="AP14" s="134">
        <f t="shared" si="7"/>
        <v>5</v>
      </c>
      <c r="AQ14" s="134" t="str">
        <f>MID(H14,1,1)</f>
        <v>4</v>
      </c>
      <c r="AR14" s="134">
        <f t="shared" si="1"/>
        <v>5</v>
      </c>
      <c r="AT14" s="134">
        <f t="shared" si="1"/>
        <v>0</v>
      </c>
      <c r="AV14" s="134">
        <f t="shared" si="1"/>
        <v>0</v>
      </c>
      <c r="AX14" s="134">
        <f t="shared" si="1"/>
        <v>0</v>
      </c>
      <c r="AZ14" s="134">
        <f t="shared" si="2"/>
        <v>0</v>
      </c>
      <c r="BA14" s="134" t="str">
        <f>MID(R14,1,1)</f>
        <v>1</v>
      </c>
      <c r="BB14" s="134">
        <f t="shared" si="2"/>
        <v>4</v>
      </c>
      <c r="BC14" s="134" t="str">
        <f>MID(T14,1,1)</f>
        <v>1</v>
      </c>
      <c r="BD14" s="134">
        <f t="shared" si="2"/>
        <v>2</v>
      </c>
      <c r="BE14" s="134" t="str">
        <f>MID(V14,1,1)</f>
        <v>1</v>
      </c>
      <c r="BF14" s="134">
        <f t="shared" si="2"/>
        <v>3</v>
      </c>
      <c r="BG14" s="134" t="str">
        <f>MID(X14,1,1)</f>
        <v>2</v>
      </c>
      <c r="BH14" s="134">
        <f t="shared" si="3"/>
        <v>6</v>
      </c>
      <c r="BJ14" s="134">
        <f t="shared" si="3"/>
        <v>0</v>
      </c>
      <c r="BK14" s="134" t="str">
        <f t="shared" si="25"/>
        <v>1</v>
      </c>
      <c r="BL14" s="134">
        <f t="shared" si="3"/>
        <v>3</v>
      </c>
      <c r="BN14" s="134">
        <f t="shared" si="3"/>
        <v>0</v>
      </c>
      <c r="BP14" s="134">
        <f t="shared" si="4"/>
        <v>0</v>
      </c>
      <c r="BR14" s="134">
        <f t="shared" si="4"/>
        <v>0</v>
      </c>
      <c r="BT14" s="134">
        <f t="shared" si="4"/>
        <v>0</v>
      </c>
      <c r="BV14" s="134">
        <f t="shared" si="14"/>
        <v>1</v>
      </c>
      <c r="BW14" s="134">
        <f>VALUE(AO14)</f>
        <v>3</v>
      </c>
      <c r="BX14" s="134">
        <f>VALUE(AQ14)</f>
        <v>4</v>
      </c>
      <c r="CC14" s="134">
        <f>VALUE(BA14)</f>
        <v>1</v>
      </c>
      <c r="CD14" s="134">
        <f>VALUE(BC14)</f>
        <v>1</v>
      </c>
      <c r="CE14" s="134">
        <f>VALUE(BE14)</f>
        <v>1</v>
      </c>
      <c r="CF14" s="134">
        <f>VALUE(BG14)</f>
        <v>2</v>
      </c>
      <c r="CH14" s="134">
        <f t="shared" si="29"/>
        <v>1</v>
      </c>
      <c r="CL14" s="142"/>
      <c r="CN14" s="139">
        <v>1</v>
      </c>
      <c r="CO14" s="139">
        <v>32</v>
      </c>
      <c r="CP14" s="139">
        <v>10368</v>
      </c>
      <c r="CQ14" s="139">
        <v>746496</v>
      </c>
      <c r="CR14" s="140"/>
      <c r="CS14" s="139">
        <v>50331648</v>
      </c>
      <c r="CT14" s="139">
        <v>74384733888</v>
      </c>
      <c r="CU14" s="139">
        <v>5566277615616</v>
      </c>
      <c r="CV14" s="139">
        <v>13589544960000</v>
      </c>
      <c r="CX14" s="144"/>
      <c r="CY14" s="144"/>
      <c r="CZ14" s="144"/>
      <c r="DA14" s="134">
        <f>IF(AN11=4,AM11,1)*IF(AN12=4,AM12,1)*IF(AN13=4,AM13,1)*IF(AN14=4,AM14,1)*IF(AN15=4,AM15,1)*IF(AN16=4,AM16,1)</f>
        <v>1</v>
      </c>
      <c r="DB14" s="134">
        <f>IF(AP11=4,AO11,1)*IF(AP12=4,AO12,1)*IF(AP13=4,AO13,1)*IF(AP14=4,AO14,1)*IF(AP15=4,AO15,1)*IF(AP16=4,AN16,1)</f>
        <v>1</v>
      </c>
      <c r="DC14" s="134">
        <f>IF(AR11=4,AQ11,1)*IF(AR12=4,AQ12,1)*IF(AR13=4,AQ13,1)*IF(AR14=4,AQ14,1)*IF(AR15=4,AQ15,1)*IF(AR16=4,AQ16,1)</f>
        <v>1</v>
      </c>
      <c r="DD14" s="134">
        <f>IF(AT11=4,AS11,1)*IF(AT12=4,AS12,1)*IF(AT13=4,AS13,1)*IF(AT14=4,AS14,1)*IF(AT15=4,AS15,1)*IF(AT16=4,AS16,1)</f>
        <v>1</v>
      </c>
      <c r="DE14" s="134">
        <f>IF(AV11=4,AU11,1)*IF(AV12=4,AU12,1)*IF(AV13=4,AU13,1)*IF(AV14=4,AU14,1)*IF(AV15=4,AU15,1)*IF(AV16=4,AU16,1)</f>
        <v>1</v>
      </c>
      <c r="DF14" s="134">
        <f>IF(AX11=4,AW11,1)*IF(AX12=4,AW12,1)*IF(AX13=4,AW13,1)*IF(AX14=4,AW14,1)*IF(AX15=4,AW15,1)*IF(AX16=4,AW16,1)</f>
        <v>1</v>
      </c>
      <c r="DG14" s="134">
        <f>IF(AZ11=4,AY11,1)*IF(AZ12=4,AY12,1)*IF(AZ13=4,AY13,1)*IF(AZ14=4,AY14,1)*IF(AZ15=4,AY15,1)*IF(AZ16=4,AY16,1)</f>
        <v>1</v>
      </c>
      <c r="DH14" s="134">
        <f>IF(BB11=4,BA11,1)*IF(BB12=4,BA12,1)*IF(BB13=4,BA13,1)*IF(BB14=4,BA14,1)*IF(BB15=4,BA15,1)*IF(BB16=4,BA16,1)</f>
        <v>1</v>
      </c>
      <c r="DI14" s="134">
        <f>IF(BD11=4,BC11,1)*IF(BD12=4,BC12,1)*IF(BD13=4,BC13,1)*IF(BD14=4,BC14,1)*IF(BD15=4,BC15,1)*IF(BD16=4,BC16,1)</f>
        <v>1</v>
      </c>
      <c r="DJ14" s="134">
        <f>IF(BF11=4,BE11,1)*IF(BF12=4,BE12,1)*IF(BF13=4,BE13,1)*IF(BF14=4,BE14,1)*IF(BF15=4,BE15,1)*IF(BF16=4,BE16,1)</f>
        <v>1</v>
      </c>
      <c r="DK14" s="134">
        <f>IF(BH11=4,BG11,1)*IF(BH12=4,BG12,1)*IF(BH13=4,BG13,1)*IF(BH14=4,BG14,1)*IF(BH15=4,BG15,1)*IF(BH16=4,BG16,1)</f>
        <v>1</v>
      </c>
      <c r="DL14" s="134">
        <f>IF(BJ11=4,BI11,1)*IF(BJ12=4,BI12,1)*IF(BJ13=4,BI13,1)*IF(BJ14=4,BI14,1)*IF(BJ15=4,BI15,1)*IF(BJ16=4,BI16,1)</f>
        <v>1</v>
      </c>
      <c r="DM14" s="134">
        <f>IF(BL11=4,BK11,1)*IF(BL12=4,BK12,1)*IF(BL13=4,BK13,1)*IF(BL14=4,BK14,1)*IF(BL15=4,BK15,1)*IF(BL16=4,BK16,1)</f>
        <v>1</v>
      </c>
      <c r="DN14" s="134">
        <f>IF(BN11=4,BM11,1)*IF(BN12=4,BM12,1)*IF(BN13=4,BM13,1)*IF(BN14=4,BM14,1)*IF(BN15=4,BM15,1)*IF(BN16=4,BM16,1)</f>
        <v>1</v>
      </c>
      <c r="DO14" s="134">
        <f>IF(BP11=4,BO11,1)*IF(BP12=4,BO12,1)*IF(BP13=4,BO13,1)*IF(BP14=4,BO14,1)*IF(BP15=4,BO15,1)*IF(BP16=4,BO16,1)</f>
        <v>1</v>
      </c>
      <c r="DP14" s="134">
        <f>IF(BR11=4,BQ11,1)*IF(BR12=4,BQ12,1)*IF(BR13=4,BQ13,1)*IF(BR14=4,BQ14,1)*IF(BR15=4,BQ15,1)*IF(BR16=4,BQ16,1)</f>
        <v>1</v>
      </c>
      <c r="DQ14" s="144">
        <f t="shared" si="32"/>
        <v>1</v>
      </c>
    </row>
    <row r="15" spans="2:122" ht="60" x14ac:dyDescent="0.25">
      <c r="B15" s="134">
        <v>5</v>
      </c>
      <c r="C15" s="135" t="s">
        <v>252</v>
      </c>
      <c r="D15" s="134" t="str">
        <f>Contexto!C16</f>
        <v>2 Las condciones climáticas son variables en rangos medios, sin embargo se pueden presentar ocasionalmente condiciones climáticas extremas.</v>
      </c>
      <c r="E15" s="134">
        <v>5</v>
      </c>
      <c r="F15" s="134" t="str">
        <f>Contexto!C25</f>
        <v>3 Las eventos como inundaciones, movimientos de masas o incendios forestales son frecuentes.</v>
      </c>
      <c r="G15" s="134">
        <v>5</v>
      </c>
      <c r="H15" s="134" t="str">
        <f>Contexto!C29</f>
        <v>3 Existen a lo sumo dos alternativas de vias de acceso al lugar de ejecución del contrato.</v>
      </c>
      <c r="I15" s="134">
        <v>5</v>
      </c>
      <c r="L15" s="134" t="str">
        <f>'Descripcion Actividades'!C46</f>
        <v>1 Se requiere una sola modalidad de transporte</v>
      </c>
      <c r="M15" s="134">
        <v>6</v>
      </c>
      <c r="R15" s="134" t="str">
        <f>'Descripcion Actividades'!C67</f>
        <v>1 No se requiere recorrer trayectos superiores a 5 kilómetros para el aprovisionamiento de materiales e insumos.</v>
      </c>
      <c r="S15" s="134">
        <v>5</v>
      </c>
      <c r="V15" s="134" t="str">
        <f>'Descripcion Actividades'!C97</f>
        <v>1 No se requiere servicio de audiovisuales en el contrato</v>
      </c>
      <c r="W15" s="134">
        <v>3</v>
      </c>
      <c r="Z15" s="134" t="str">
        <f>'Descripcion Actividades'!C125</f>
        <v>2 El lugar para la ejecución del contrato es de fácil acceso y pero los tiempos para acceder pueden variar.</v>
      </c>
      <c r="AA15" s="134">
        <v>5</v>
      </c>
      <c r="AB15" s="134" t="str">
        <f>'Descripcion Actividades'!C135</f>
        <v>2 El lugar para la ejecución del contrato es de fácil acceso y pero los tiempos para acceder pueden variar.</v>
      </c>
      <c r="AC15" s="134">
        <v>5</v>
      </c>
      <c r="AM15" s="134" t="str">
        <f t="shared" si="21"/>
        <v>2</v>
      </c>
      <c r="AN15" s="134">
        <f t="shared" si="6"/>
        <v>5</v>
      </c>
      <c r="AO15" s="134" t="str">
        <f t="shared" si="22"/>
        <v>3</v>
      </c>
      <c r="AP15" s="134">
        <f t="shared" si="7"/>
        <v>5</v>
      </c>
      <c r="AQ15" s="134" t="str">
        <f>MID(H15,1,1)</f>
        <v>3</v>
      </c>
      <c r="AR15" s="134">
        <f t="shared" si="1"/>
        <v>5</v>
      </c>
      <c r="AT15" s="134">
        <f t="shared" si="1"/>
        <v>0</v>
      </c>
      <c r="AU15" s="134" t="str">
        <f>MID(L15,1,1)</f>
        <v>1</v>
      </c>
      <c r="AV15" s="134">
        <f t="shared" si="1"/>
        <v>6</v>
      </c>
      <c r="AX15" s="134">
        <f t="shared" si="1"/>
        <v>0</v>
      </c>
      <c r="AZ15" s="134">
        <f t="shared" si="2"/>
        <v>0</v>
      </c>
      <c r="BA15" s="134" t="str">
        <f>MID(R15,1,1)</f>
        <v>1</v>
      </c>
      <c r="BB15" s="134">
        <f t="shared" si="2"/>
        <v>5</v>
      </c>
      <c r="BD15" s="134">
        <f t="shared" si="2"/>
        <v>0</v>
      </c>
      <c r="BE15" s="134" t="str">
        <f>MID(V15,1,1)</f>
        <v>1</v>
      </c>
      <c r="BF15" s="134">
        <f t="shared" si="2"/>
        <v>3</v>
      </c>
      <c r="BH15" s="134">
        <f t="shared" si="3"/>
        <v>0</v>
      </c>
      <c r="BI15" s="134" t="str">
        <f>MID(Z15,1,1)</f>
        <v>2</v>
      </c>
      <c r="BJ15" s="134">
        <f t="shared" si="3"/>
        <v>5</v>
      </c>
      <c r="BK15" s="134" t="str">
        <f t="shared" si="25"/>
        <v>2</v>
      </c>
      <c r="BL15" s="134">
        <f t="shared" si="3"/>
        <v>5</v>
      </c>
      <c r="BN15" s="134">
        <f t="shared" si="3"/>
        <v>0</v>
      </c>
      <c r="BP15" s="134">
        <f t="shared" si="4"/>
        <v>0</v>
      </c>
      <c r="BR15" s="134">
        <f t="shared" si="4"/>
        <v>0</v>
      </c>
      <c r="BT15" s="134">
        <f t="shared" si="4"/>
        <v>0</v>
      </c>
      <c r="BV15" s="134">
        <f t="shared" si="14"/>
        <v>2</v>
      </c>
      <c r="BW15" s="134">
        <f>VALUE(AO15)</f>
        <v>3</v>
      </c>
      <c r="BX15" s="134">
        <f>VALUE(AQ15)</f>
        <v>3</v>
      </c>
      <c r="BZ15" s="134">
        <f>VALUE(AU15)</f>
        <v>1</v>
      </c>
      <c r="CC15" s="134">
        <f>VALUE(BA15)</f>
        <v>1</v>
      </c>
      <c r="CE15" s="134">
        <f>VALUE(BE15)</f>
        <v>1</v>
      </c>
      <c r="CG15" s="134">
        <f>VALUE(BI15)</f>
        <v>2</v>
      </c>
      <c r="CH15" s="134">
        <f t="shared" si="29"/>
        <v>2</v>
      </c>
      <c r="CL15" s="142"/>
      <c r="CN15" s="140"/>
      <c r="CO15" s="140">
        <f>CO14/CN14</f>
        <v>32</v>
      </c>
      <c r="CP15" s="140">
        <f>CP14/CO14</f>
        <v>324</v>
      </c>
      <c r="CQ15" s="140">
        <f>CQ14/CP14</f>
        <v>72</v>
      </c>
      <c r="CR15" s="140"/>
      <c r="CS15" s="140">
        <f>CS14/CQ14</f>
        <v>67.423868312757207</v>
      </c>
      <c r="CT15" s="140">
        <f>CT14/CS14</f>
        <v>1477.8918800354004</v>
      </c>
      <c r="CU15" s="140">
        <f t="shared" ref="CU15" si="35">CU14/CS14</f>
        <v>110592</v>
      </c>
      <c r="CV15" s="140">
        <f t="shared" ref="CV15" si="36">CV14/CT14</f>
        <v>182.69266084169337</v>
      </c>
      <c r="CX15" s="144"/>
      <c r="CY15" s="144"/>
      <c r="CZ15" s="144"/>
      <c r="DA15" s="134">
        <f>IF(AN11=5,AM11,1)*IF(AN12=5,AM12,1)*IF(AN13=5,AM13,1)*IF(AN14=5,AM14,1)*IF(AN15=5,AM15,1)*IF(AN16=5,AM16,1)</f>
        <v>6</v>
      </c>
      <c r="DB15" s="134">
        <f>IF(AP11=5,AO11,1)*IF(AP12=5,AO12,1)*IF(AP13=5,AO13,1)*IF(AP14=5,AO14,1)*IF(AP15=5,AO15,1)*IF(AP16=5,AN16,1)</f>
        <v>36</v>
      </c>
      <c r="DC15" s="134">
        <f>IF(AR11=5,AQ11,1)*IF(AR12=5,AQ12,1)*IF(AR13=5,AQ13,1)*IF(AR14=5,AQ14,1)*IF(AR15=5,AQ15,1)*IF(AR16=5,AQ16,1)</f>
        <v>144</v>
      </c>
      <c r="DD15" s="134">
        <f>IF(AT11=5,AS11,1)*IF(AT12=5,AS12,1)*IF(AT13=5,AS13,1)*IF(AT14=5,AS14,1)*IF(AT15=5,AS15,1)*IF(AT16=5,AS16,1)</f>
        <v>1</v>
      </c>
      <c r="DE15" s="134">
        <f>IF(AV11=5,AU11,1)*IF(AV12=5,AU12,1)*IF(AV13=5,AU13,1)*IF(AV14=5,AU14,1)*IF(AV15=5,AU15,1)*IF(AV16=5,AU16,1)</f>
        <v>12</v>
      </c>
      <c r="DF15" s="134">
        <f>IF(AX11=5,AW11,1)*IF(AX12=5,AW12,1)*IF(AX13=5,AW13,1)*IF(AX14=5,AW14,1)*IF(AX15=5,AW15,1)*IF(AX16=5,AW16,1)</f>
        <v>1</v>
      </c>
      <c r="DG15" s="134">
        <f>IF(AZ11=5,AY11,1)*IF(AZ12=5,AY12,1)*IF(AZ13=5,AY13,1)*IF(AZ14=5,AY14,1)*IF(AZ15=5,AY15,1)*IF(AZ16=5,AY16,1)</f>
        <v>1</v>
      </c>
      <c r="DH15" s="134">
        <f>IF(BB11=5,BA11,1)*IF(BB12=5,BA12,1)*IF(BB13=5,BA13,1)*IF(BB14=5,BA14,1)*IF(BB15=5,BA15,1)*IF(BB16=5,BA16,1)</f>
        <v>1</v>
      </c>
      <c r="DI15" s="134">
        <f>IF(BD11=5,BC11,1)*IF(BD12=5,BC12,1)*IF(BD13=5,BC13,1)*IF(BD14=5,BC14,1)*IF(BD15=5,BC15,1)*IF(BD16=5,BC16,1)</f>
        <v>1</v>
      </c>
      <c r="DJ15" s="134">
        <f>IF(BF11=5,BE11,1)*IF(BF12=5,BE12,1)*IF(BF13=5,BE13,1)*IF(BF14=5,BE14,1)*IF(BF15=5,BE15,1)*IF(BF16=5,BE16,1)</f>
        <v>1</v>
      </c>
      <c r="DK15" s="134">
        <f>IF(BH11=5,BG11,1)*IF(BH12=5,BG12,1)*IF(BH13=5,BG13,1)*IF(BH14=5,BG14,1)*IF(BH15=5,BG15,1)*IF(BH16=5,BG16,1)</f>
        <v>1</v>
      </c>
      <c r="DL15" s="134">
        <f>IF(BJ11=5,BI11,1)*IF(BJ12=5,BI12,1)*IF(BJ13=5,BI13,1)*IF(BJ14=5,BI14,1)*IF(BJ15=5,BI15,1)*IF(BJ16=5,BI16,1)</f>
        <v>2</v>
      </c>
      <c r="DM15" s="134">
        <f>IF(BL11=5,BK11,1)*IF(BL12=5,BK12,1)*IF(BL13=5,BK13,1)*IF(BL14=5,BK14,1)*IF(BL15=5,BK15,1)*IF(BL16=5,BK16,1)</f>
        <v>2</v>
      </c>
      <c r="DN15" s="134">
        <f>IF(BN11=5,BM11,1)*IF(BN12=5,BM12,1)*IF(BN13=5,BM13,1)*IF(BN14=5,BM14,1)*IF(BN15=5,BM15,1)*IF(BN16=5,BM16,1)</f>
        <v>1</v>
      </c>
      <c r="DO15" s="134">
        <f>IF(BP11=5,BO11,1)*IF(BP12=5,BO12,1)*IF(BP13=5,BO13,1)*IF(BP14=5,BO14,1)*IF(BP15=5,BO15,1)*IF(BP16=5,BO16,1)</f>
        <v>1</v>
      </c>
      <c r="DP15" s="134">
        <f>IF(BR11=5,BQ11,1)*IF(BR12=5,BQ12,1)*IF(BR13=5,BQ13,1)*IF(BR14=5,BQ14,1)*IF(BR15=5,BQ15,1)*IF(BR16=5,BQ16,1)</f>
        <v>1</v>
      </c>
      <c r="DQ15" s="144">
        <f t="shared" si="32"/>
        <v>1492992</v>
      </c>
    </row>
    <row r="16" spans="2:122" ht="30" x14ac:dyDescent="0.25">
      <c r="B16" s="134">
        <v>6</v>
      </c>
      <c r="C16" s="135" t="s">
        <v>253</v>
      </c>
      <c r="L16" s="134" t="str">
        <f>'Descripcion Actividades'!C44</f>
        <v>4 Es necesario contratar servicios exculsivos de transporte</v>
      </c>
      <c r="M16" s="134">
        <v>6</v>
      </c>
      <c r="R16" s="134" t="str">
        <f>'Descripcion Actividades'!C65</f>
        <v>1 Hay múltiples fuentes para la consecusión de los materiales e insumos.</v>
      </c>
      <c r="S16" s="134">
        <v>3</v>
      </c>
      <c r="V16" s="134" t="str">
        <f>'Descripcion Actividades'!C99</f>
        <v>2 Se requieren algunos servicios de alojamiento y su disponibilidad es amplia.</v>
      </c>
      <c r="W16" s="134">
        <v>6</v>
      </c>
      <c r="Z16" s="134" t="str">
        <f>'Descripcion Actividades'!C127</f>
        <v>3 La ejecución del contrato se hace en lugares dispersos en un mismo departamento.</v>
      </c>
      <c r="AA16" s="134">
        <v>6</v>
      </c>
      <c r="AB16" s="134" t="str">
        <f>'Descripcion Actividades'!C139</f>
        <v>1 La obra no contempla  actividades de excavación, cimentación o instalación de estructuras elevadas o de elementos de gran tamaño y elevado peso.</v>
      </c>
      <c r="AC16" s="134">
        <v>6</v>
      </c>
      <c r="AN16" s="134">
        <f t="shared" si="6"/>
        <v>0</v>
      </c>
      <c r="AP16" s="134">
        <f t="shared" si="7"/>
        <v>0</v>
      </c>
      <c r="AR16" s="134">
        <f t="shared" si="1"/>
        <v>0</v>
      </c>
      <c r="AT16" s="134">
        <f t="shared" si="1"/>
        <v>0</v>
      </c>
      <c r="AU16" s="134" t="str">
        <f>MID(L16,1,1)</f>
        <v>4</v>
      </c>
      <c r="AV16" s="134">
        <f t="shared" si="1"/>
        <v>6</v>
      </c>
      <c r="AX16" s="134">
        <f t="shared" si="1"/>
        <v>0</v>
      </c>
      <c r="AZ16" s="134">
        <f t="shared" si="2"/>
        <v>0</v>
      </c>
      <c r="BA16" s="134" t="str">
        <f>MID(R16,1,1)</f>
        <v>1</v>
      </c>
      <c r="BB16" s="134">
        <f t="shared" si="2"/>
        <v>3</v>
      </c>
      <c r="BD16" s="134">
        <f t="shared" si="2"/>
        <v>0</v>
      </c>
      <c r="BE16" s="134" t="str">
        <f>MID(V16,1,1)</f>
        <v>2</v>
      </c>
      <c r="BF16" s="134">
        <f t="shared" si="2"/>
        <v>6</v>
      </c>
      <c r="BH16" s="134">
        <f t="shared" si="3"/>
        <v>0</v>
      </c>
      <c r="BI16" s="134" t="str">
        <f>MID(Z16,1,1)</f>
        <v>3</v>
      </c>
      <c r="BJ16" s="134">
        <f t="shared" si="3"/>
        <v>6</v>
      </c>
      <c r="BK16" s="134" t="str">
        <f t="shared" si="25"/>
        <v>1</v>
      </c>
      <c r="BL16" s="134">
        <f t="shared" si="3"/>
        <v>6</v>
      </c>
      <c r="BN16" s="134">
        <f t="shared" si="3"/>
        <v>0</v>
      </c>
      <c r="BP16" s="134">
        <f t="shared" si="4"/>
        <v>0</v>
      </c>
      <c r="BR16" s="134">
        <f t="shared" si="4"/>
        <v>0</v>
      </c>
      <c r="BT16" s="134">
        <f t="shared" si="4"/>
        <v>0</v>
      </c>
      <c r="BZ16" s="134">
        <f>VALUE(AU16)</f>
        <v>4</v>
      </c>
      <c r="CC16" s="134">
        <f>VALUE(BA16)</f>
        <v>1</v>
      </c>
      <c r="CE16" s="134">
        <f>VALUE(BE16)</f>
        <v>2</v>
      </c>
      <c r="CG16" s="134">
        <f>VALUE(BI16)</f>
        <v>3</v>
      </c>
      <c r="CH16" s="134">
        <f t="shared" si="29"/>
        <v>1</v>
      </c>
      <c r="CL16" s="142"/>
      <c r="CN16" s="139">
        <v>1</v>
      </c>
      <c r="CO16" s="139">
        <v>4096</v>
      </c>
      <c r="CP16" s="139">
        <v>589824</v>
      </c>
      <c r="CQ16" s="139">
        <v>644972544</v>
      </c>
      <c r="CR16" s="149"/>
      <c r="CS16" s="139">
        <v>274877906944</v>
      </c>
      <c r="CT16" s="139">
        <v>4.0025236079199763E+17</v>
      </c>
      <c r="CU16" s="139">
        <v>1.2607196652875872E+21</v>
      </c>
      <c r="CV16" s="139">
        <v>1.8345885696E+22</v>
      </c>
      <c r="CX16" s="144"/>
      <c r="CY16" s="144"/>
      <c r="CZ16" s="144"/>
      <c r="DA16" s="134">
        <f>IF(AN11=6,AM11,1)*IF(AN12=6,AM12,1)*IF(AN13=6,AM13,1)*IF(AN14=6,AM14,1)*IF(AN15=6,AM15,1)*IF(AN16=6,AM16,1)</f>
        <v>1</v>
      </c>
      <c r="DB16" s="134">
        <f>IF(AP11=6,AO11,1)*IF(AP12=6,AO12,1)*IF(AP13=6,AO13,1)*IF(AP14=6,AO14,1)*IF(AP15=6,AO15,1)*IF(AP16=6,AN16,1)</f>
        <v>1</v>
      </c>
      <c r="DC16" s="134">
        <f>IF(AR11=6,AQ11,1)*IF(AR12=6,AQ12,1)*IF(AR13=6,AQ13,1)*IF(AR14=6,AQ14,1)*IF(AR15=6,AQ15,1)*IF(AR16=6,AQ16,1)</f>
        <v>1</v>
      </c>
      <c r="DD16" s="134">
        <f>IF(AT11=6,AS11,1)*IF(AT12=6,AS12,1)*IF(AT13=6,AS13,1)*IF(AT14=6,AS14,1)*IF(AT15=6,AS15,1)*IF(AT16=6,AS16,1)</f>
        <v>1</v>
      </c>
      <c r="DE16" s="134">
        <f>IF(AV11=6,AU11,1)*IF(AV12=6,AU12,1)*IF(AV13=6,AU13,1)*IF(AV14=6,AU14,1)*IF(AV15=6,AU15,1)*IF(AV16=6,AU16,1)</f>
        <v>4</v>
      </c>
      <c r="DF16" s="134">
        <f>IF(AX11=6,AW11,1)*IF(AX12=6,AW12,1)*IF(AX13=6,AW13,1)*IF(AX14=6,AW14,1)*IF(AX15=6,AW15,1)*IF(AX16=6,AW16,1)</f>
        <v>1</v>
      </c>
      <c r="DG16" s="134">
        <f>IF(AZ11=6,AY11,1)*IF(AZ12=6,AY12,1)*IF(AZ13=6,AY13,1)*IF(AZ14=6,AY14,1)*IF(AZ15=6,AY15,1)*IF(AZ16=6,AY16,1)</f>
        <v>1</v>
      </c>
      <c r="DH16" s="134">
        <f>IF(BB11=5,BA11,1)*IF(BB12=5,BA12,1)*IF(BB13=5,BA13,1)*IF(BB14=5,BA14,1)*IF(BB15=5,BA15,1)*IF(BB16=6,BA16,1)</f>
        <v>1</v>
      </c>
      <c r="DI16" s="134">
        <f>IF(BD11=6,BC11,1)*IF(BD12=6,BC12,1)*IF(BD13=6,BC13,1)*IF(BD14=6,BC14,1)*IF(BD15=6,BC15,1)*IF(BD16=6,BC16,1)</f>
        <v>1</v>
      </c>
      <c r="DJ16" s="134">
        <f>IF(BF11=6,BE11,1)*IF(BF12=6,BE12,1)*IF(BF13=6,BE13,1)*IF(BF14=6,BE14,1)*IF(BF15=6,BE15,1)*IF(BF16=6,BE16,1)</f>
        <v>2</v>
      </c>
      <c r="DK16" s="134">
        <f>IF(BH11=6,BG11,1)*IF(BH12=6,BG12,1)*IF(BH13=6,BG13,1)*IF(BH14=6,BG14,1)*IF(BH15=6,BG15,1)*IF(BH16=6,BG16,1)</f>
        <v>2</v>
      </c>
      <c r="DL16" s="134">
        <f>IF(BJ11=6,BI11,1)*IF(BJ12=6,BI12,1)*IF(BJ13=6,BI13,1)*IF(BJ14=6,BI14,1)*IF(BJ15=6,BI15,1)*IF(BJ16=6,BI16,1)</f>
        <v>3</v>
      </c>
      <c r="DM16" s="134">
        <f>IF(BL11=5,BK11,1)*IF(BL12=5,BK12,1)*IF(BL13=5,BK13,1)*IF(BL14=5,BK14,1)*IF(BL15=5,BK15,1)*IF(BL16=6,BK16,1)</f>
        <v>2</v>
      </c>
      <c r="DN16" s="134">
        <f>IF(BN11=5,BM11,1)*IF(BN12=5,BM12,1)*IF(BN13=5,BM13,1)*IF(BN14=5,BM14,1)*IF(BN15=5,BM15,1)*IF(BN16=6,BM16,1)</f>
        <v>1</v>
      </c>
      <c r="DO16" s="134">
        <f>IF(BP11=6,BO11,1)*IF(BP12=6,BO12,1)*IF(BP13=6,BO13,1)*IF(BP14=6,BO14,1)*IF(BP15=6,BO15,1)*IF(BP16=6,BO16,1)</f>
        <v>1</v>
      </c>
      <c r="DP16" s="134">
        <f>IF(BR11=6,BQ11,1)*IF(BR12=6,BQ12,1)*IF(BR13=6,BQ13,1)*IF(BR14=6,BQ14,1)*IF(BR15=6,BQ15,1)*IF(BR16=6,BQ16,1)</f>
        <v>1</v>
      </c>
      <c r="DQ16" s="144">
        <f t="shared" si="32"/>
        <v>96</v>
      </c>
    </row>
    <row r="17" spans="2:122" s="144" customFormat="1" x14ac:dyDescent="0.25">
      <c r="C17" s="147"/>
      <c r="AN17" s="134">
        <f t="shared" si="6"/>
        <v>0</v>
      </c>
      <c r="AP17" s="134">
        <f t="shared" si="7"/>
        <v>0</v>
      </c>
      <c r="AR17" s="134">
        <f t="shared" si="1"/>
        <v>0</v>
      </c>
      <c r="AT17" s="134">
        <f t="shared" si="1"/>
        <v>0</v>
      </c>
      <c r="AV17" s="134">
        <f t="shared" si="1"/>
        <v>0</v>
      </c>
      <c r="AX17" s="134">
        <f t="shared" si="1"/>
        <v>0</v>
      </c>
      <c r="AZ17" s="134">
        <f t="shared" si="2"/>
        <v>0</v>
      </c>
      <c r="BB17" s="134">
        <f t="shared" si="2"/>
        <v>0</v>
      </c>
      <c r="BD17" s="134">
        <f t="shared" si="2"/>
        <v>0</v>
      </c>
      <c r="BF17" s="134">
        <f t="shared" si="2"/>
        <v>0</v>
      </c>
      <c r="BH17" s="134">
        <f t="shared" si="3"/>
        <v>0</v>
      </c>
      <c r="BJ17" s="134">
        <f t="shared" si="3"/>
        <v>0</v>
      </c>
      <c r="BL17" s="134">
        <f t="shared" si="3"/>
        <v>0</v>
      </c>
      <c r="BN17" s="134">
        <f t="shared" si="3"/>
        <v>0</v>
      </c>
      <c r="BP17" s="134">
        <f t="shared" si="4"/>
        <v>0</v>
      </c>
      <c r="BR17" s="134">
        <f t="shared" si="4"/>
        <v>0</v>
      </c>
      <c r="BT17" s="134">
        <f t="shared" si="4"/>
        <v>0</v>
      </c>
      <c r="BV17" s="144">
        <f>BV11*BV14*BV15</f>
        <v>6</v>
      </c>
      <c r="BW17" s="144">
        <f>BW11*BW14*BW15</f>
        <v>36</v>
      </c>
      <c r="BX17" s="144">
        <f>BX11*BX13*BX14*BX15</f>
        <v>144</v>
      </c>
      <c r="BZ17" s="144">
        <f>BZ11*BZ12*BZ15*BZ16</f>
        <v>48</v>
      </c>
      <c r="CA17" s="144">
        <f>CA11*CA13</f>
        <v>1</v>
      </c>
      <c r="CB17" s="144">
        <f>CB11*CB13</f>
        <v>1</v>
      </c>
      <c r="CC17" s="144">
        <f>CC11*CC12*CC14</f>
        <v>1</v>
      </c>
      <c r="CD17" s="144">
        <f>CD11*CD12*CD13*CD14</f>
        <v>10</v>
      </c>
      <c r="CE17" s="144">
        <f>CE11*CE12*CE13*CE14*CE15*CE16</f>
        <v>160</v>
      </c>
      <c r="CF17" s="144">
        <f>CF12*CF13*CF14</f>
        <v>4</v>
      </c>
      <c r="CG17" s="144">
        <f>CG11*CG15*CG16</f>
        <v>24</v>
      </c>
      <c r="CH17" s="144">
        <f>CH11*CH12*CH13*CH14*CH15*CH16</f>
        <v>2</v>
      </c>
      <c r="CL17" s="148">
        <f>PRODUCT(BV17:CK17)</f>
        <v>458647142400</v>
      </c>
      <c r="CN17" s="149"/>
      <c r="CO17" s="140">
        <f>CO16/CN16</f>
        <v>4096</v>
      </c>
      <c r="CP17" s="140">
        <f>CP16/CO16</f>
        <v>144</v>
      </c>
      <c r="CQ17" s="140">
        <f>CQ16/CP16</f>
        <v>1093.5</v>
      </c>
      <c r="CR17" s="140"/>
      <c r="CS17" s="140">
        <f>CS16/CQ16</f>
        <v>426.18543921150228</v>
      </c>
      <c r="CT17" s="140">
        <f>CT16/CS16</f>
        <v>1456109.6060497134</v>
      </c>
      <c r="CU17" s="140">
        <f t="shared" ref="CU17" si="37">CU16/CS16</f>
        <v>4586471424</v>
      </c>
      <c r="CV17" s="140">
        <f t="shared" ref="CV17" si="38">CV16/CT16</f>
        <v>45835.796345331124</v>
      </c>
      <c r="CX17" s="144" t="str">
        <f>IF(CL17&lt;CO3,'cap.7 - analisis riesgos'!$B$15,IF('Eval Factores de Riesgo'!CL17&lt;'Eval Factores de Riesgo'!CP3,'cap.7 - analisis riesgos'!$B$16,IF('Eval Factores de Riesgo'!CL17&lt;'Eval Factores de Riesgo'!CQ3,'cap.7 - analisis riesgos'!$B$17,IF('Eval Factores de Riesgo'!CL17&lt;'Eval Factores de Riesgo'!CS3,'cap.7 - analisis riesgos'!$B$18,'cap.7 - analisis riesgos'!$B$19))))</f>
        <v>Probable</v>
      </c>
      <c r="CY17" s="144">
        <f>IF(CL17&lt;CP3,'cap.7 - analisis riesgos'!$G$15,IF('Eval Factores de Riesgo'!CL17&lt;'Eval Factores de Riesgo'!CQ3,'cap.7 - analisis riesgos'!$G$16,IF('Eval Factores de Riesgo'!CL17&lt;'Eval Factores de Riesgo'!CS3,'cap.7 - analisis riesgos'!$G$17,IF('Eval Factores de Riesgo'!CL17&lt;'Eval Factores de Riesgo'!CT3,'cap.7 - analisis riesgos'!$G$18,'cap.7 - analisis riesgos'!$G$19))))</f>
        <v>3</v>
      </c>
      <c r="CZ17" s="144">
        <f>MAX(DA17:DP17)</f>
        <v>160</v>
      </c>
      <c r="DA17" s="144">
        <f>PRODUCT(DA11:DA16)</f>
        <v>6</v>
      </c>
      <c r="DB17" s="144">
        <f t="shared" ref="DB17:DP17" si="39">PRODUCT(DB11:DB16)</f>
        <v>36</v>
      </c>
      <c r="DC17" s="144">
        <f t="shared" si="39"/>
        <v>144</v>
      </c>
      <c r="DD17" s="144">
        <f t="shared" si="39"/>
        <v>1</v>
      </c>
      <c r="DE17" s="144">
        <f t="shared" si="39"/>
        <v>48</v>
      </c>
      <c r="DF17" s="144">
        <f t="shared" si="39"/>
        <v>1</v>
      </c>
      <c r="DG17" s="144">
        <f t="shared" si="39"/>
        <v>1</v>
      </c>
      <c r="DH17" s="144">
        <f t="shared" si="39"/>
        <v>1</v>
      </c>
      <c r="DI17" s="144">
        <f t="shared" si="39"/>
        <v>10</v>
      </c>
      <c r="DJ17" s="144">
        <f t="shared" si="39"/>
        <v>160</v>
      </c>
      <c r="DK17" s="144">
        <f t="shared" si="39"/>
        <v>4</v>
      </c>
      <c r="DL17" s="144">
        <f t="shared" si="39"/>
        <v>24</v>
      </c>
      <c r="DM17" s="144">
        <f t="shared" si="39"/>
        <v>4</v>
      </c>
      <c r="DN17" s="144">
        <f t="shared" si="39"/>
        <v>1</v>
      </c>
      <c r="DO17" s="144">
        <f t="shared" si="39"/>
        <v>1</v>
      </c>
      <c r="DP17" s="144">
        <f t="shared" si="39"/>
        <v>1</v>
      </c>
    </row>
    <row r="18" spans="2:122" s="144" customFormat="1" x14ac:dyDescent="0.25">
      <c r="C18" s="147"/>
      <c r="AN18" s="134"/>
      <c r="AP18" s="134"/>
      <c r="AR18" s="134"/>
      <c r="AT18" s="134"/>
      <c r="AV18" s="134"/>
      <c r="AX18" s="134"/>
      <c r="AZ18" s="134"/>
      <c r="BB18" s="134"/>
      <c r="BD18" s="134"/>
      <c r="BF18" s="134"/>
      <c r="BH18" s="134"/>
      <c r="BJ18" s="134"/>
      <c r="BL18" s="134"/>
      <c r="BN18" s="134"/>
      <c r="BP18" s="134"/>
      <c r="BR18" s="134"/>
      <c r="BT18" s="134"/>
      <c r="CL18" s="150"/>
      <c r="CN18" s="149"/>
      <c r="CO18" s="140"/>
      <c r="CP18" s="140"/>
      <c r="CQ18" s="140"/>
      <c r="CR18" s="140"/>
      <c r="CS18" s="140"/>
      <c r="CT18" s="140"/>
      <c r="CU18" s="140"/>
      <c r="CV18" s="140"/>
      <c r="DA18" s="144">
        <f>$CZ$17-DA17</f>
        <v>154</v>
      </c>
      <c r="DB18" s="144">
        <f t="shared" ref="DB18:DP18" si="40">$CZ$17-DB17</f>
        <v>124</v>
      </c>
      <c r="DC18" s="144">
        <f t="shared" si="40"/>
        <v>16</v>
      </c>
      <c r="DD18" s="144">
        <f t="shared" si="40"/>
        <v>159</v>
      </c>
      <c r="DE18" s="144">
        <f t="shared" si="40"/>
        <v>112</v>
      </c>
      <c r="DF18" s="144">
        <f t="shared" si="40"/>
        <v>159</v>
      </c>
      <c r="DG18" s="144">
        <f t="shared" si="40"/>
        <v>159</v>
      </c>
      <c r="DH18" s="144">
        <f t="shared" si="40"/>
        <v>159</v>
      </c>
      <c r="DI18" s="144">
        <f t="shared" si="40"/>
        <v>150</v>
      </c>
      <c r="DJ18" s="144">
        <f t="shared" si="40"/>
        <v>0</v>
      </c>
      <c r="DK18" s="144">
        <f t="shared" si="40"/>
        <v>156</v>
      </c>
      <c r="DL18" s="144">
        <f t="shared" si="40"/>
        <v>136</v>
      </c>
      <c r="DM18" s="144">
        <f t="shared" si="40"/>
        <v>156</v>
      </c>
      <c r="DN18" s="144">
        <f t="shared" si="40"/>
        <v>159</v>
      </c>
      <c r="DO18" s="144">
        <f t="shared" si="40"/>
        <v>159</v>
      </c>
      <c r="DP18" s="144">
        <f t="shared" si="40"/>
        <v>159</v>
      </c>
      <c r="DR18" s="144">
        <f>IF(DA18=0,DA10,IF(DB18=0,DB10,IF(DC18=0,DC10,IF(DD18=0,DD10,IF(DE18=0,DE10,IF(DF18=0,DF10,IF(DG18=0,DG10,IF(DH18=0,DH10,IF(DI18=0,DI10,IF(DJ18=0,DJ10,IF(DK18=0,DK10,IF(DL18=0,DL10,IF(DM18=0,DM10,IF(DN18=0,DN10,IF(DO18=0,DO10,DP10)))))))))))))))</f>
        <v>12</v>
      </c>
    </row>
    <row r="19" spans="2:122" ht="30" x14ac:dyDescent="0.25">
      <c r="C19" s="141" t="s">
        <v>24</v>
      </c>
      <c r="D19" s="151" t="s">
        <v>597</v>
      </c>
      <c r="E19" s="151"/>
      <c r="F19" s="152" t="s">
        <v>598</v>
      </c>
      <c r="G19" s="151"/>
      <c r="H19" s="151" t="s">
        <v>593</v>
      </c>
      <c r="I19" s="151"/>
      <c r="J19" s="151" t="s">
        <v>581</v>
      </c>
      <c r="K19" s="151"/>
      <c r="L19" s="137" t="s">
        <v>579</v>
      </c>
      <c r="N19" s="137" t="s">
        <v>579</v>
      </c>
      <c r="P19" s="137" t="s">
        <v>579</v>
      </c>
      <c r="R19" s="137" t="s">
        <v>579</v>
      </c>
      <c r="T19" s="137" t="s">
        <v>580</v>
      </c>
      <c r="V19" s="137" t="s">
        <v>580</v>
      </c>
      <c r="X19" s="137" t="s">
        <v>580</v>
      </c>
      <c r="Z19" s="137" t="s">
        <v>580</v>
      </c>
      <c r="AB19" s="137" t="s">
        <v>582</v>
      </c>
      <c r="AD19" s="137" t="s">
        <v>583</v>
      </c>
      <c r="AF19" s="137" t="s">
        <v>586</v>
      </c>
      <c r="AH19" s="137" t="s">
        <v>587</v>
      </c>
      <c r="AJ19" s="137" t="s">
        <v>587</v>
      </c>
      <c r="AN19" s="134">
        <f t="shared" si="6"/>
        <v>0</v>
      </c>
      <c r="AP19" s="134">
        <f t="shared" si="7"/>
        <v>0</v>
      </c>
      <c r="AR19" s="134">
        <f t="shared" si="1"/>
        <v>0</v>
      </c>
      <c r="AT19" s="134">
        <f t="shared" si="1"/>
        <v>0</v>
      </c>
      <c r="AV19" s="134">
        <f t="shared" si="1"/>
        <v>0</v>
      </c>
      <c r="AX19" s="134">
        <f t="shared" si="1"/>
        <v>0</v>
      </c>
      <c r="AZ19" s="134">
        <f t="shared" si="2"/>
        <v>0</v>
      </c>
      <c r="BB19" s="134">
        <f t="shared" si="2"/>
        <v>0</v>
      </c>
      <c r="BD19" s="134">
        <f t="shared" si="2"/>
        <v>0</v>
      </c>
      <c r="BF19" s="134">
        <f t="shared" si="2"/>
        <v>0</v>
      </c>
      <c r="BH19" s="134">
        <f t="shared" si="3"/>
        <v>0</v>
      </c>
      <c r="BJ19" s="134">
        <f t="shared" si="3"/>
        <v>0</v>
      </c>
      <c r="BL19" s="134">
        <f t="shared" si="3"/>
        <v>0</v>
      </c>
      <c r="BN19" s="134">
        <f t="shared" si="3"/>
        <v>0</v>
      </c>
      <c r="BP19" s="134">
        <f t="shared" si="4"/>
        <v>0</v>
      </c>
      <c r="BR19" s="134">
        <f t="shared" si="4"/>
        <v>0</v>
      </c>
      <c r="BT19" s="134">
        <f t="shared" si="4"/>
        <v>0</v>
      </c>
      <c r="CL19" s="138" t="s">
        <v>318</v>
      </c>
      <c r="CN19" s="139">
        <v>1</v>
      </c>
      <c r="CO19" s="139">
        <v>32</v>
      </c>
      <c r="CP19" s="139">
        <v>5184</v>
      </c>
      <c r="CQ19" s="139">
        <v>995328</v>
      </c>
      <c r="CR19" s="140"/>
      <c r="CS19" s="139">
        <v>402653184</v>
      </c>
      <c r="CT19" s="139">
        <v>1338925209984</v>
      </c>
      <c r="CU19" s="139">
        <v>100192997081088</v>
      </c>
      <c r="CV19" s="139">
        <v>244611809280000</v>
      </c>
      <c r="CX19" s="144"/>
      <c r="CY19" s="144"/>
      <c r="CZ19" s="144"/>
      <c r="DA19" s="143">
        <f>IFERROR(VALUE(MID(D19,1,2)),"")</f>
        <v>7</v>
      </c>
      <c r="DB19" s="143">
        <f>IFERROR(VALUE(MID(F19,1,2)),"")</f>
        <v>8</v>
      </c>
      <c r="DC19" s="143">
        <f>IFERROR(VALUE(MID(H19,1,2)),"")</f>
        <v>9</v>
      </c>
      <c r="DD19" s="143">
        <f>IFERROR(VALUE(MID(J19,1,2)),"")</f>
        <v>10</v>
      </c>
      <c r="DE19" s="143">
        <f>IFERROR(VALUE(MID(L19,1,2)),"")</f>
        <v>11</v>
      </c>
      <c r="DF19" s="143">
        <f>IFERROR(VALUE(MID(N19,1,2)),"")</f>
        <v>11</v>
      </c>
      <c r="DG19" s="143">
        <f>IFERROR(VALUE(MID(P19,1,2)),"")</f>
        <v>11</v>
      </c>
      <c r="DH19" s="143">
        <f>IFERROR(VALUE(MID(R19,1,2)),"")</f>
        <v>11</v>
      </c>
      <c r="DI19" s="143">
        <f>IFERROR(VALUE(MID(T19,1,2)),"")</f>
        <v>12</v>
      </c>
      <c r="DJ19" s="143">
        <f>IFERROR(VALUE(MID(V19,1,2)),"")</f>
        <v>12</v>
      </c>
      <c r="DK19" s="143">
        <f>IFERROR(VALUE(MID(X19,1,2)),"")</f>
        <v>12</v>
      </c>
      <c r="DL19" s="143">
        <f>IFERROR(VALUE(MID(Z19,1,2)),"")</f>
        <v>12</v>
      </c>
      <c r="DM19" s="143">
        <f>IFERROR(VALUE(MID(AB19,1,2)),"")</f>
        <v>13</v>
      </c>
      <c r="DN19" s="143">
        <f>IFERROR(VALUE(MID(AD19,1,2)),"")</f>
        <v>14</v>
      </c>
      <c r="DO19" s="143">
        <f>IFERROR(VALUE(MID(AF19,1,2)),"")</f>
        <v>15</v>
      </c>
      <c r="DP19" s="143">
        <f>IFERROR(VALUE(MID(AH19,1,2)),"")</f>
        <v>16</v>
      </c>
      <c r="DQ19" s="144"/>
    </row>
    <row r="20" spans="2:122" x14ac:dyDescent="0.25">
      <c r="B20" s="134">
        <v>1</v>
      </c>
      <c r="C20" s="135" t="s">
        <v>254</v>
      </c>
      <c r="D20" s="134" t="str">
        <f>'Descripcion Actividades'!C16</f>
        <v>3 Se requiere experiencia pero es común encontrarla</v>
      </c>
      <c r="E20" s="134">
        <v>1</v>
      </c>
      <c r="F20" s="134" t="str">
        <f>'Descripcion Actividades'!C40</f>
        <v>4 Las actividades de transporte son inherentes al cumplimiento del objeto contractual.</v>
      </c>
      <c r="G20" s="134">
        <v>1</v>
      </c>
      <c r="H20" s="145" t="str">
        <f>'Descripcion Actividades'!C51</f>
        <v>1 El contrato no contempla actividades de manipulación y/o suministro de alimentos.</v>
      </c>
      <c r="I20" s="145">
        <v>2</v>
      </c>
      <c r="J20" s="146" t="str">
        <f>'Descripcion Actividades'!C55</f>
        <v>1 El contrato no contempla actividades de manipulación y/o suministro de medicamentos.</v>
      </c>
      <c r="K20" s="146">
        <v>2</v>
      </c>
      <c r="L20" s="134" t="str">
        <f>'Descripcion Actividades'!C63</f>
        <v>1 Todos los materiales e insumos requeridos son de amplia disponibilidad y accesibilidad.</v>
      </c>
      <c r="M20" s="134">
        <v>2</v>
      </c>
      <c r="N20" s="134" t="str">
        <f>'Descripcion Actividades'!C71</f>
        <v>1 Ninguno de los materiales e insumos requiere de permiso legal para acceder a ellos.</v>
      </c>
      <c r="O20" s="134">
        <v>2</v>
      </c>
      <c r="P20" s="134" t="str">
        <f>'Descripcion Actividades'!C73</f>
        <v>1 Los materiales e insumos son todos de origen nacional.</v>
      </c>
      <c r="Q20" s="134">
        <v>2</v>
      </c>
      <c r="R20" s="134" t="str">
        <f>'Descripcion Actividades'!C75</f>
        <v>1 No se contemplan materiales e insumos perecederos para la ejecución del contrato.</v>
      </c>
      <c r="S20" s="134">
        <v>2</v>
      </c>
      <c r="T20" s="134" t="str">
        <f>'Descripcion Actividades'!C81</f>
        <v>1 El suministro de agua no es relevante para la ejecución del contrato.</v>
      </c>
      <c r="U20" s="134">
        <v>2</v>
      </c>
      <c r="V20" s="134" t="str">
        <f>'Descripcion Actividades'!C89</f>
        <v>5 Se requiere aprovisionarse de servicio de conectividad satelital.</v>
      </c>
      <c r="W20" s="134">
        <v>2</v>
      </c>
      <c r="X20" s="134" t="str">
        <f>'Descripcion Actividades'!C97</f>
        <v>1 No se requiere servicio de audiovisuales en el contrato</v>
      </c>
      <c r="Y20" s="134">
        <v>1</v>
      </c>
      <c r="Z20" s="134" t="str">
        <f>'Descripcion Actividades'!C105</f>
        <v>1 No se requieren disposición de residuos o escombros.</v>
      </c>
      <c r="AA20" s="134">
        <v>1</v>
      </c>
      <c r="AB20" s="134" t="str">
        <f>'Descripcion Actividades'!C110</f>
        <v>3 La estructura de supervisión y niveles de decisión es elaborada y las decisiones se toman en cada nivel según su relevancia para el contrato.</v>
      </c>
      <c r="AC20" s="134">
        <v>2</v>
      </c>
      <c r="AD20" s="134" t="str">
        <f>'Descripcion Actividades'!C118</f>
        <v>2 Las máquinas, equipos y vehículos son de uso común y su disponibilidad es amplia.</v>
      </c>
      <c r="AE20" s="134">
        <v>2</v>
      </c>
      <c r="AF20" s="134" t="str">
        <f>'Descripcion Actividades'!C123</f>
        <v>4 El contrato contempla una cantidad apreciable de actividades de campo especializadas y/o complejas.</v>
      </c>
      <c r="AG20" s="134">
        <v>2</v>
      </c>
      <c r="AH20" s="134" t="str">
        <f>'Descripcion Actividades'!C131</f>
        <v>1 El contrato no contempla actividades de obra civil.</v>
      </c>
      <c r="AI20" s="134">
        <v>2</v>
      </c>
      <c r="AJ20" s="134" t="str">
        <f>'Descripcion Actividades'!C139</f>
        <v>1 La obra no contempla  actividades de excavación, cimentación o instalación de estructuras elevadas o de elementos de gran tamaño y elevado peso.</v>
      </c>
      <c r="AK20" s="134">
        <v>2</v>
      </c>
      <c r="AM20" s="134" t="str">
        <f t="shared" si="21"/>
        <v>3</v>
      </c>
      <c r="AN20" s="134">
        <f t="shared" si="6"/>
        <v>1</v>
      </c>
      <c r="AO20" s="134" t="str">
        <f t="shared" si="22"/>
        <v>4</v>
      </c>
      <c r="AP20" s="134">
        <f t="shared" si="7"/>
        <v>1</v>
      </c>
      <c r="AQ20" s="145" t="str">
        <f>MID(H20,1,1)</f>
        <v>1</v>
      </c>
      <c r="AR20" s="134">
        <f t="shared" si="1"/>
        <v>2</v>
      </c>
      <c r="AS20" s="146" t="str">
        <f>MID(J20,1,1)</f>
        <v>1</v>
      </c>
      <c r="AT20" s="134">
        <f t="shared" si="1"/>
        <v>2</v>
      </c>
      <c r="AU20" s="134" t="str">
        <f>MID(L20,1,1)</f>
        <v>1</v>
      </c>
      <c r="AV20" s="134">
        <f t="shared" si="1"/>
        <v>2</v>
      </c>
      <c r="AW20" s="134" t="str">
        <f>MID(N20,1,1)</f>
        <v>1</v>
      </c>
      <c r="AX20" s="134">
        <f t="shared" si="1"/>
        <v>2</v>
      </c>
      <c r="AY20" s="134" t="str">
        <f>MID(P20,1,1)</f>
        <v>1</v>
      </c>
      <c r="AZ20" s="134">
        <f t="shared" si="2"/>
        <v>2</v>
      </c>
      <c r="BA20" s="134" t="str">
        <f>MID(R20,1,1)</f>
        <v>1</v>
      </c>
      <c r="BB20" s="134">
        <f t="shared" si="2"/>
        <v>2</v>
      </c>
      <c r="BC20" s="134" t="str">
        <f>MID(T20,1,1)</f>
        <v>1</v>
      </c>
      <c r="BD20" s="134">
        <f t="shared" si="2"/>
        <v>2</v>
      </c>
      <c r="BE20" s="134" t="str">
        <f>MID(V20,1,1)</f>
        <v>5</v>
      </c>
      <c r="BF20" s="134">
        <f t="shared" si="2"/>
        <v>2</v>
      </c>
      <c r="BG20" s="134" t="str">
        <f>MID(X20,1,1)</f>
        <v>1</v>
      </c>
      <c r="BH20" s="134">
        <f t="shared" si="3"/>
        <v>1</v>
      </c>
      <c r="BI20" s="134" t="str">
        <f>MID(Z20,1,1)</f>
        <v>1</v>
      </c>
      <c r="BJ20" s="134">
        <f t="shared" si="3"/>
        <v>1</v>
      </c>
      <c r="BK20" s="134" t="str">
        <f>MID(AB20,1,1)</f>
        <v>3</v>
      </c>
      <c r="BL20" s="134">
        <f t="shared" si="3"/>
        <v>2</v>
      </c>
      <c r="BM20" s="134" t="str">
        <f>MID(AD20,1,1)</f>
        <v>2</v>
      </c>
      <c r="BN20" s="134">
        <f t="shared" si="3"/>
        <v>2</v>
      </c>
      <c r="BO20" s="134" t="str">
        <f>MID(AF20,1,1)</f>
        <v>4</v>
      </c>
      <c r="BP20" s="134">
        <f t="shared" si="4"/>
        <v>2</v>
      </c>
      <c r="BQ20" s="134" t="str">
        <f>MID(AH20,1,1)</f>
        <v>1</v>
      </c>
      <c r="BR20" s="134">
        <f t="shared" si="4"/>
        <v>2</v>
      </c>
      <c r="BS20" s="134" t="str">
        <f t="shared" ref="BS20" si="41">MID(AJ20,1,1)</f>
        <v>1</v>
      </c>
      <c r="BT20" s="134">
        <f t="shared" si="4"/>
        <v>2</v>
      </c>
      <c r="BV20" s="134">
        <f t="shared" si="14"/>
        <v>3</v>
      </c>
      <c r="BW20" s="134">
        <f>VALUE(AO20)</f>
        <v>4</v>
      </c>
      <c r="BX20" s="145">
        <f>VALUE(AQ20)</f>
        <v>1</v>
      </c>
      <c r="BY20" s="146">
        <f t="shared" ref="BY20:BY78" si="42">VALUE(AS20)</f>
        <v>1</v>
      </c>
      <c r="BZ20" s="134">
        <f>VALUE(AU20)</f>
        <v>1</v>
      </c>
      <c r="CA20" s="134">
        <f>VALUE(AW20)</f>
        <v>1</v>
      </c>
      <c r="CB20" s="134">
        <f>VALUE(AY20)</f>
        <v>1</v>
      </c>
      <c r="CC20" s="134">
        <f>VALUE(BA20)</f>
        <v>1</v>
      </c>
      <c r="CD20" s="134">
        <f>VALUE(BC20)</f>
        <v>1</v>
      </c>
      <c r="CE20" s="134">
        <f>VALUE(BE20)</f>
        <v>5</v>
      </c>
      <c r="CF20" s="134">
        <f>VALUE(BG20)</f>
        <v>1</v>
      </c>
      <c r="CG20" s="134">
        <f>VALUE(BI20)</f>
        <v>1</v>
      </c>
      <c r="CH20" s="134">
        <f>VALUE(BK20)</f>
        <v>3</v>
      </c>
      <c r="CI20" s="134">
        <f>VALUE(BM20)</f>
        <v>2</v>
      </c>
      <c r="CJ20" s="134">
        <f>VALUE(BO20)</f>
        <v>4</v>
      </c>
      <c r="CK20" s="134">
        <f t="shared" ref="CK20" si="43">VALUE(BQ20)</f>
        <v>1</v>
      </c>
      <c r="CL20" s="142"/>
      <c r="CN20" s="140"/>
      <c r="CO20" s="140">
        <f>CO19/CN19</f>
        <v>32</v>
      </c>
      <c r="CP20" s="140">
        <f>CP19/CO19</f>
        <v>162</v>
      </c>
      <c r="CQ20" s="140">
        <f>CQ19/CP19</f>
        <v>192</v>
      </c>
      <c r="CR20" s="140"/>
      <c r="CS20" s="140">
        <f>CS19/CQ19</f>
        <v>404.54320987654319</v>
      </c>
      <c r="CT20" s="140">
        <f>CT19/CS19</f>
        <v>3325.2567300796509</v>
      </c>
      <c r="CU20" s="140">
        <f t="shared" ref="CU20" si="44">CU19/CS19</f>
        <v>248832</v>
      </c>
      <c r="CV20" s="140">
        <f t="shared" ref="CV20" si="45">CV19/CT19</f>
        <v>182.69266084169337</v>
      </c>
      <c r="CX20" s="144"/>
      <c r="CY20" s="144"/>
      <c r="CZ20" s="144"/>
      <c r="DA20" s="134">
        <f>IF(AN20=1,AM20,1)*IF(AN21=1,AM21,1)*IF(AN22=1,AM22,1)*IF(AN23=1,AM23,1)</f>
        <v>3</v>
      </c>
      <c r="DB20" s="134">
        <f>IF(AP20=1,AO20,1)*IF(AP21=1,AO21,1)*IF(AP22=1,AO22,1)*IF(AP23=1,AO23,1)</f>
        <v>48</v>
      </c>
      <c r="DC20" s="134">
        <f>IF(AR20=1,AQ20,1)*IF(AR21=1,AQ21,1)*IF(AR22=1,AQ22,1)*IF(AR23=1,AQ23,1)</f>
        <v>1</v>
      </c>
      <c r="DD20" s="134">
        <f>IF(AT20=1,AS20,1)*IF(AT21=1,AS21,1)*IF(AT22=1,AS22,1)*IF(AT23=1,AS23,1)</f>
        <v>1</v>
      </c>
      <c r="DE20" s="134">
        <f>IF(AV20=1,AU20,1)*IF(AV21=1,AU21,1)*IF(AV22=1,AU22,1)*IF(AV23=1,AU23,1)</f>
        <v>1</v>
      </c>
      <c r="DF20" s="134">
        <f>IF(AX20=1,AW20,1)*IF(AX21=1,AW21,1)*IF(AX22=1,AW22,1)*IF(AX23=1,AW23,1)</f>
        <v>1</v>
      </c>
      <c r="DG20" s="134">
        <f>IF(AZ20=1,AY20,1)*IF(AZ21=1,AY21,1)*IF(AZ22=1,AY22,1)*IF(AZ23=1,AY23,1)</f>
        <v>1</v>
      </c>
      <c r="DH20" s="134">
        <f>IF(BB20=1,BA20,1)*IF(BB21=1,BA21,1)*IF(BB22=1,BA22,1)*IF(BB23=1,BA23,1)</f>
        <v>1</v>
      </c>
      <c r="DI20" s="134">
        <f>IF(BD20=1,BC20,1)*IF(BD21=1,BC21,1)*IF(BD22=1,BC22,1)*IF(BD23=1,BC23,1)</f>
        <v>1</v>
      </c>
      <c r="DJ20" s="134">
        <f>IF(BF20=1,BE20,1)*IF(BF21=1,BE21,1)*IF(BF22=1,BE22,1)</f>
        <v>1</v>
      </c>
      <c r="DK20" s="134">
        <f>IF(BH20=1,BG20,1)*IF(BH21=1,BG21,1)*IF(BH22=1,BG22,1)*IF(BH23=1,BG23,1)</f>
        <v>4</v>
      </c>
      <c r="DL20" s="134">
        <f>IF(BJ20=1,BI20,1)*IF(BJ21=1,BI21,1)*IF(BJ22=1,BI22,1)*IF(BJ23=1,BI23,1)</f>
        <v>1</v>
      </c>
      <c r="DM20" s="134">
        <f>IF(BL20=1,BK20,1)*IF(BL21=1,BK21,1)*IF(BL22=1,BK22,1)*IF(BL23=1,BK23,1)</f>
        <v>1</v>
      </c>
      <c r="DN20" s="134">
        <f>IF(BN20=1,BM20,1)*IF(BN21=1,BM21,1)*IF(BN22=1,BM22,1)*IF(BN23=1,BM23,1)</f>
        <v>1</v>
      </c>
      <c r="DO20" s="134">
        <f>IF(BP20=1,BO20,1)*IF(BP21=1,BO21,1)*IF(BP22=1,BO22,1)*IF(BP23=1,BO23,1)</f>
        <v>1</v>
      </c>
      <c r="DP20" s="134">
        <f>IF(BR20=1,BQ20,1)*IF(BR21=1,BQ21,1)*IF(BR22=1,BQ22,1)*IF(BR23=1,BQ23,1)</f>
        <v>1</v>
      </c>
      <c r="DQ20" s="144">
        <f t="shared" ref="DQ20:DQ23" si="46">PRODUCT(DA20:DP20)</f>
        <v>576</v>
      </c>
      <c r="DR20" s="134">
        <f>IF((DQ20-MAX(DQ20:DQ23))=0,B20,IF((DQ21-MAX(DQ20:DQ23))=0,B21,IF((DQ22-MAX(DQ20:DQ23))=0,B22,B23)))</f>
        <v>2</v>
      </c>
    </row>
    <row r="21" spans="2:122" x14ac:dyDescent="0.25">
      <c r="B21" s="134">
        <v>2</v>
      </c>
      <c r="C21" s="135" t="s">
        <v>255</v>
      </c>
      <c r="D21" s="134" t="str">
        <f>'Descripcion Actividades'!C18</f>
        <v>1 El proceso es de común conocimiento no tiene restricciones de uso.</v>
      </c>
      <c r="E21" s="134">
        <v>3</v>
      </c>
      <c r="F21" s="134" t="str">
        <f>'Descripcion Actividades'!C42</f>
        <v>3 Las actividades de transporte son frecuentes y periódicas</v>
      </c>
      <c r="G21" s="134">
        <v>1</v>
      </c>
      <c r="H21" s="134" t="str">
        <f>'Descripcion Actividades'!C53</f>
        <v>1 Nada Relevante</v>
      </c>
      <c r="I21" s="134">
        <v>2</v>
      </c>
      <c r="J21" s="146" t="str">
        <f>'Descripcion Actividades'!C53</f>
        <v>1 Nada Relevante</v>
      </c>
      <c r="K21" s="146">
        <v>2</v>
      </c>
      <c r="L21" s="134" t="str">
        <f>'Descripcion Actividades'!C65</f>
        <v>1 Hay múltiples fuentes para la consecusión de los materiales e insumos.</v>
      </c>
      <c r="M21" s="134">
        <v>2</v>
      </c>
      <c r="T21" s="134" t="str">
        <f>'Descripcion Actividades'!C83</f>
        <v>2 Se cuenta con red de suministro de energía eléctrica y está disponible todo el tiempo.</v>
      </c>
      <c r="U21" s="134">
        <v>2</v>
      </c>
      <c r="V21" s="134" t="str">
        <f>'Descripcion Actividades'!C91</f>
        <v>4 Se requiere el procesamiento de un alto volumen de datos, es relevante para la ejecución del contrato y se realiza con un tercero.</v>
      </c>
      <c r="W21" s="134">
        <v>2</v>
      </c>
      <c r="X21" s="134" t="str">
        <f>'Descripcion Actividades'!C99</f>
        <v>2 Se requieren algunos servicios de alojamiento y su disponibilidad es amplia.</v>
      </c>
      <c r="Y21" s="134">
        <v>2</v>
      </c>
      <c r="AB21" s="134" t="str">
        <f>'Descripcion Actividades'!C112</f>
        <v>3 Los procesos, metodologías, procedimientos, instructivos son complejos</v>
      </c>
      <c r="AC21" s="134">
        <v>2</v>
      </c>
      <c r="AF21" s="134" t="str">
        <f>'Descripcion Actividades'!C125</f>
        <v>2 El lugar para la ejecución del contrato es de fácil acceso y pero los tiempos para acceder pueden variar.</v>
      </c>
      <c r="AG21" s="134">
        <v>2</v>
      </c>
      <c r="AH21" s="134" t="str">
        <f>'Descripcion Actividades'!C133</f>
        <v>1 Se contempla un único frente de obra.</v>
      </c>
      <c r="AI21" s="134">
        <v>2</v>
      </c>
      <c r="AJ21" s="134" t="str">
        <f>'Descripcion Actividades'!C141</f>
        <v>1 La obra no contempla actividades bajo el agua.</v>
      </c>
      <c r="AK21" s="134">
        <v>2</v>
      </c>
      <c r="AM21" s="134" t="str">
        <f t="shared" si="21"/>
        <v>1</v>
      </c>
      <c r="AN21" s="134">
        <f t="shared" si="6"/>
        <v>3</v>
      </c>
      <c r="AO21" s="134" t="str">
        <f t="shared" si="22"/>
        <v>3</v>
      </c>
      <c r="AP21" s="134">
        <f t="shared" si="7"/>
        <v>1</v>
      </c>
      <c r="AQ21" s="145" t="str">
        <f>MID(H21,1,1)</f>
        <v>1</v>
      </c>
      <c r="AR21" s="134">
        <f t="shared" si="1"/>
        <v>2</v>
      </c>
      <c r="AS21" s="146" t="str">
        <f>MID(J21,1,1)</f>
        <v>1</v>
      </c>
      <c r="AT21" s="134">
        <f t="shared" si="1"/>
        <v>2</v>
      </c>
      <c r="AU21" s="134" t="str">
        <f>MID(L21,1,1)</f>
        <v>1</v>
      </c>
      <c r="AV21" s="134">
        <f t="shared" si="1"/>
        <v>2</v>
      </c>
      <c r="AX21" s="134">
        <f t="shared" si="1"/>
        <v>0</v>
      </c>
      <c r="AZ21" s="134">
        <f t="shared" si="2"/>
        <v>0</v>
      </c>
      <c r="BB21" s="134">
        <f t="shared" si="2"/>
        <v>0</v>
      </c>
      <c r="BC21" s="134" t="str">
        <f>MID(T21,1,1)</f>
        <v>2</v>
      </c>
      <c r="BD21" s="134">
        <f t="shared" si="2"/>
        <v>2</v>
      </c>
      <c r="BE21" s="134" t="str">
        <f>MID(V21,1,1)</f>
        <v>4</v>
      </c>
      <c r="BF21" s="134">
        <f t="shared" si="2"/>
        <v>2</v>
      </c>
      <c r="BG21" s="134" t="str">
        <f t="shared" ref="BG21:BG23" si="47">MID(X21,1,1)</f>
        <v>2</v>
      </c>
      <c r="BH21" s="134">
        <f t="shared" si="3"/>
        <v>2</v>
      </c>
      <c r="BJ21" s="134">
        <f t="shared" si="3"/>
        <v>0</v>
      </c>
      <c r="BK21" s="134" t="str">
        <f>MID(AB21,1,1)</f>
        <v>3</v>
      </c>
      <c r="BL21" s="134">
        <f t="shared" si="3"/>
        <v>2</v>
      </c>
      <c r="BN21" s="134">
        <f t="shared" si="3"/>
        <v>0</v>
      </c>
      <c r="BO21" s="134" t="str">
        <f>MID(AF21,1,1)</f>
        <v>2</v>
      </c>
      <c r="BP21" s="134">
        <f t="shared" si="4"/>
        <v>2</v>
      </c>
      <c r="BQ21" s="134" t="str">
        <f>MID(AH21,1,1)</f>
        <v>1</v>
      </c>
      <c r="BR21" s="134">
        <f t="shared" si="4"/>
        <v>2</v>
      </c>
      <c r="BS21" s="134" t="str">
        <f>MID(AJ21,1,1)</f>
        <v>1</v>
      </c>
      <c r="BT21" s="134">
        <f t="shared" si="4"/>
        <v>2</v>
      </c>
      <c r="BV21" s="134">
        <f t="shared" si="14"/>
        <v>1</v>
      </c>
      <c r="BW21" s="134">
        <f>VALUE(AO21)</f>
        <v>3</v>
      </c>
      <c r="BX21" s="145">
        <f>VALUE(AQ21)</f>
        <v>1</v>
      </c>
      <c r="BY21" s="146">
        <f t="shared" si="42"/>
        <v>1</v>
      </c>
      <c r="BZ21" s="134">
        <f>VALUE(AU21)</f>
        <v>1</v>
      </c>
      <c r="CD21" s="134">
        <f>VALUE(BC21)</f>
        <v>2</v>
      </c>
      <c r="CE21" s="134">
        <f>VALUE(BE21)</f>
        <v>4</v>
      </c>
      <c r="CF21" s="134">
        <f t="shared" ref="CF21:CF23" si="48">VALUE(BG21)</f>
        <v>2</v>
      </c>
      <c r="CH21" s="134">
        <f>VALUE(BK21)</f>
        <v>3</v>
      </c>
      <c r="CJ21" s="134">
        <f>VALUE(BO21)</f>
        <v>2</v>
      </c>
      <c r="CK21" s="134">
        <f>VALUE(BQ21)</f>
        <v>1</v>
      </c>
      <c r="CL21" s="142"/>
      <c r="CN21" s="139">
        <v>1</v>
      </c>
      <c r="CO21" s="139">
        <v>2</v>
      </c>
      <c r="CP21" s="139">
        <v>4</v>
      </c>
      <c r="CQ21" s="139">
        <v>16</v>
      </c>
      <c r="CR21" s="140"/>
      <c r="CS21" s="139">
        <v>64</v>
      </c>
      <c r="CT21" s="139">
        <v>486</v>
      </c>
      <c r="CU21" s="139">
        <v>1152</v>
      </c>
      <c r="CV21" s="139">
        <v>1152</v>
      </c>
      <c r="CX21" s="144"/>
      <c r="CY21" s="144"/>
      <c r="CZ21" s="144"/>
      <c r="DA21" s="134">
        <f>IF(AN20=2,AM20,1)*IF(AN21=2,AM21,1)*IF(AN22=2,AM22,1)*IF(AN23=2,AM23,1)</f>
        <v>1</v>
      </c>
      <c r="DB21" s="134">
        <f>IF(AP20=2,AO20,1)*IF(AP21=2,AO21,1)*IF(AP22=2,AO22,1)*IF(AP23=2,AO23,1)</f>
        <v>1</v>
      </c>
      <c r="DC21" s="134">
        <f>IF(AR20=2,AQ20,1)*IF(AR21=2,AQ21,1)*IF(AR22=2,AQ22,1)*IF(AR23=2,AQ23,1)</f>
        <v>1</v>
      </c>
      <c r="DD21" s="134">
        <f>IF(AT20=2,AS20,1)*IF(AT21=2,AS21,1)*IF(AT22=2,AS22,1)*IF(AT23=2,AS23,1)</f>
        <v>1</v>
      </c>
      <c r="DE21" s="134">
        <f>IF(AV20=2,AU20,1)*IF(AV21=2,AU21,1)*IF(AV22=2,AU22,1)*IF(AV23=2,AU23,1)</f>
        <v>1</v>
      </c>
      <c r="DF21" s="134">
        <f>IF(AX20=2,AW20,1)*IF(AX21=2,AW21,1)*IF(AX22=2,AW22,1)*IF(AX23=2,AW23,1)</f>
        <v>1</v>
      </c>
      <c r="DG21" s="134">
        <f>IF(AZ20=2,AY20,1)*IF(AZ21=2,AY21,1)*IF(AZ22=2,AY22,1)*IF(AZ23=2,AY23,1)</f>
        <v>1</v>
      </c>
      <c r="DH21" s="134">
        <f>IF(BB20=2,BA20,1)*IF(BB21=2,BA21,1)*IF(BB22=2,BA22,1)*IF(BB23=2,BA23,1)</f>
        <v>1</v>
      </c>
      <c r="DI21" s="134">
        <f>IF(BD20=2,BC20,1)*IF(BD21=2,BC21,1)*IF(BD22=2,BC22,1)*IF(BD23=2,BC23,1)</f>
        <v>10</v>
      </c>
      <c r="DJ21" s="134">
        <f>IF(BF20=2,BE20,1)*IF(BF21=2,BE21,1)*IF(BF22=2,BE22,1)</f>
        <v>80</v>
      </c>
      <c r="DK21" s="134">
        <f>IF(BH20=2,BG20,1)*IF(BH21=2,BG21,1)*IF(BH22=2,BG22,1)*IF(BH23=2,BG23,1)</f>
        <v>2</v>
      </c>
      <c r="DL21" s="134">
        <f>IF(BJ20=2,BI20,1)*IF(BJ21=2,BI21,1)*IF(BJ22=2,BI22,1)*IF(BJ23=2,BI23,1)</f>
        <v>1</v>
      </c>
      <c r="DM21" s="134">
        <f>IF(BL20=2,BK20,1)*IF(BL21=2,BK21,1)*IF(BL22=2,BK22,1)*IF(BL23=2,BK23,1)</f>
        <v>27</v>
      </c>
      <c r="DN21" s="134">
        <f>IF(BN20=2,BM20,1)*IF(BN21=2,BM21,1)*IF(BN22=2,BM22,1)*IF(BN23=2,BM23,1)</f>
        <v>2</v>
      </c>
      <c r="DO21" s="134">
        <f>IF(BP20=2,BO20,1)*IF(BP21=2,BO21,1)*IF(BP22=2,BO22,1)*IF(BP23=2,BO23,1)</f>
        <v>24</v>
      </c>
      <c r="DP21" s="134">
        <f>IF(BR20=2,BQ20,1)*IF(BR21=2,BQ21,1)*IF(BR22=2,BQ22,1)*IF(BR23=2,BQ23,1)</f>
        <v>2</v>
      </c>
      <c r="DQ21" s="144">
        <f t="shared" si="46"/>
        <v>4147200</v>
      </c>
    </row>
    <row r="22" spans="2:122" x14ac:dyDescent="0.25">
      <c r="B22" s="134">
        <v>3</v>
      </c>
      <c r="C22" s="135" t="s">
        <v>303</v>
      </c>
      <c r="D22" s="134" t="str">
        <f>'Descripcion Actividades'!C22</f>
        <v>2 Se requieren permisos y licencias para la realización de las actividades por parte de autoridad competente que regula la actividad.</v>
      </c>
      <c r="E22" s="134">
        <v>3</v>
      </c>
      <c r="F22" s="134" t="str">
        <f>'Descripcion Actividades'!C44</f>
        <v>4 Es necesario contratar servicios exculsivos de transporte</v>
      </c>
      <c r="G22" s="134">
        <v>1</v>
      </c>
      <c r="T22" s="134" t="str">
        <f>'Descripcion Actividades'!C85</f>
        <v>1 El suministro de gas no es relevante para la ejecución del contrato.</v>
      </c>
      <c r="U22" s="134">
        <v>2</v>
      </c>
      <c r="V22" s="134" t="str">
        <f>'Descripcion Actividades'!C93</f>
        <v>4 Se requiere el almacenamiento de un alto volumen de datos, es relevante para la ejecución del contrato y se realiza con un tercero.</v>
      </c>
      <c r="W22" s="134">
        <v>2</v>
      </c>
      <c r="X22" s="134" t="str">
        <f>'Descripcion Actividades'!C101</f>
        <v>2 Se requieren algunos servicios sanitarios y su disponibilidad es amplia.</v>
      </c>
      <c r="Y22" s="134">
        <v>1</v>
      </c>
      <c r="AB22" s="134" t="str">
        <f>'Descripcion Actividades'!C114</f>
        <v>3 Las actividades a realizar requieren de un nivel de direccionamiento y control elaborado. El personal puede actuar con limitado grado de autonomía.</v>
      </c>
      <c r="AC22" s="134">
        <v>2</v>
      </c>
      <c r="AF22" s="134" t="str">
        <f>'Descripcion Actividades'!C127</f>
        <v>3 La ejecución del contrato se hace en lugares dispersos en un mismo departamento.</v>
      </c>
      <c r="AG22" s="134">
        <v>2</v>
      </c>
      <c r="AH22" s="134" t="str">
        <f>'Descripcion Actividades'!C135</f>
        <v>2 El lugar para la ejecución del contrato es de fácil acceso y pero los tiempos para acceder pueden variar.</v>
      </c>
      <c r="AI22" s="134">
        <v>2</v>
      </c>
      <c r="AM22" s="134" t="str">
        <f t="shared" si="21"/>
        <v>2</v>
      </c>
      <c r="AN22" s="134">
        <f t="shared" si="6"/>
        <v>3</v>
      </c>
      <c r="AO22" s="134" t="str">
        <f t="shared" si="22"/>
        <v>4</v>
      </c>
      <c r="AP22" s="134">
        <f t="shared" si="7"/>
        <v>1</v>
      </c>
      <c r="AR22" s="134">
        <f t="shared" si="1"/>
        <v>0</v>
      </c>
      <c r="AT22" s="134">
        <f t="shared" si="1"/>
        <v>0</v>
      </c>
      <c r="AV22" s="134">
        <f t="shared" si="1"/>
        <v>0</v>
      </c>
      <c r="AX22" s="134">
        <f t="shared" si="1"/>
        <v>0</v>
      </c>
      <c r="AZ22" s="134">
        <f t="shared" si="2"/>
        <v>0</v>
      </c>
      <c r="BB22" s="134">
        <f t="shared" si="2"/>
        <v>0</v>
      </c>
      <c r="BC22" s="134" t="str">
        <f>MID(T22,1,1)</f>
        <v>1</v>
      </c>
      <c r="BD22" s="134">
        <f t="shared" si="2"/>
        <v>2</v>
      </c>
      <c r="BE22" s="134" t="str">
        <f>MID(V22,1,1)</f>
        <v>4</v>
      </c>
      <c r="BF22" s="134">
        <f t="shared" si="2"/>
        <v>2</v>
      </c>
      <c r="BG22" s="134" t="str">
        <f t="shared" si="47"/>
        <v>2</v>
      </c>
      <c r="BH22" s="134">
        <f t="shared" si="3"/>
        <v>1</v>
      </c>
      <c r="BJ22" s="134">
        <f t="shared" si="3"/>
        <v>0</v>
      </c>
      <c r="BK22" s="134" t="str">
        <f>MID(AB22,1,1)</f>
        <v>3</v>
      </c>
      <c r="BL22" s="134">
        <f t="shared" si="3"/>
        <v>2</v>
      </c>
      <c r="BN22" s="134">
        <f t="shared" si="3"/>
        <v>0</v>
      </c>
      <c r="BO22" s="134" t="str">
        <f>MID(AF22,1,1)</f>
        <v>3</v>
      </c>
      <c r="BP22" s="134">
        <f t="shared" si="4"/>
        <v>2</v>
      </c>
      <c r="BQ22" s="134" t="str">
        <f>MID(AH22,1,1)</f>
        <v>2</v>
      </c>
      <c r="BR22" s="134">
        <f t="shared" si="4"/>
        <v>2</v>
      </c>
      <c r="BT22" s="134">
        <f t="shared" si="4"/>
        <v>0</v>
      </c>
      <c r="BV22" s="134">
        <f t="shared" si="14"/>
        <v>2</v>
      </c>
      <c r="BW22" s="134">
        <f>VALUE(AO22)</f>
        <v>4</v>
      </c>
      <c r="CD22" s="134">
        <f>VALUE(BC22)</f>
        <v>1</v>
      </c>
      <c r="CE22" s="134">
        <f>VALUE(BE22)</f>
        <v>4</v>
      </c>
      <c r="CF22" s="134">
        <f t="shared" si="48"/>
        <v>2</v>
      </c>
      <c r="CH22" s="134">
        <f>VALUE(BK22)</f>
        <v>3</v>
      </c>
      <c r="CJ22" s="134">
        <f>VALUE(BO22)</f>
        <v>3</v>
      </c>
      <c r="CK22" s="134">
        <f>VALUE(BQ22)</f>
        <v>2</v>
      </c>
      <c r="CL22" s="142"/>
      <c r="CN22" s="140"/>
      <c r="CO22" s="140">
        <f>CO21/CN21</f>
        <v>2</v>
      </c>
      <c r="CP22" s="140">
        <f>CP21/CO21</f>
        <v>2</v>
      </c>
      <c r="CQ22" s="140">
        <f>CQ21/CP21</f>
        <v>4</v>
      </c>
      <c r="CR22" s="140"/>
      <c r="CS22" s="140">
        <f>CS21/CQ21</f>
        <v>4</v>
      </c>
      <c r="CT22" s="140">
        <f>CT21/CS21</f>
        <v>7.59375</v>
      </c>
      <c r="CU22" s="140">
        <f t="shared" ref="CU22" si="49">CU21/CS21</f>
        <v>18</v>
      </c>
      <c r="CV22" s="140">
        <f t="shared" ref="CV22" si="50">CV21/CT21</f>
        <v>2.3703703703703702</v>
      </c>
      <c r="CX22" s="144"/>
      <c r="CY22" s="144"/>
      <c r="CZ22" s="144"/>
      <c r="DA22" s="134">
        <f>IF(AN20=3,AM20,1)*IF(AN21=3,AM21,1)*IF(AN22=3,AM22,1)*IF(AN23=3,AM23,1)</f>
        <v>2</v>
      </c>
      <c r="DB22" s="134">
        <f>IF(AP20=3,AO20,1)*IF(AP21=3,AO21,1)*IF(AP22=3,AO22,1)*IF(AP23=3,AO23,1)</f>
        <v>1</v>
      </c>
      <c r="DC22" s="134">
        <f>IF(AR20=3,AQ20,1)*IF(AR21=3,AQ21,1)*IF(AR22=3,AQ22,1)*IF(AR23=3,AQ23,1)</f>
        <v>1</v>
      </c>
      <c r="DD22" s="134">
        <f>IF(AT20=3,AS20,1)*IF(AT21=3,AS21,1)*IF(AT22=3,AS22,1)*IF(AT23=3,AS23,1)</f>
        <v>1</v>
      </c>
      <c r="DE22" s="134">
        <f>IF(AV20=3,AU20,1)*IF(AV21=3,AU21,1)*IF(AV22=3,AU22,1)*IF(AV23=3,AU23,1)</f>
        <v>1</v>
      </c>
      <c r="DF22" s="134">
        <f>IF(AX20=3,AW20,1)*IF(AX21=3,AW21,1)*IF(AX22=3,AW22,1)*IF(AX23=3,AW23,1)</f>
        <v>1</v>
      </c>
      <c r="DG22" s="134">
        <f>IF(AZ20=3,AY20,1)*IF(AZ21=3,AY21,1)*IF(AZ22=3,AY22,1)*IF(AZ23=3,AY23,1)</f>
        <v>1</v>
      </c>
      <c r="DH22" s="134">
        <f>IF(BB20=3,BA20,1)*IF(BB21=3,BA21,1)*IF(BB22=3,BA22,1)*IF(BB23=3,BA23,1)</f>
        <v>1</v>
      </c>
      <c r="DI22" s="134">
        <f>IF(BD20=3,BC20,1)*IF(BD21=3,BC21,1)*IF(BD22=3,BC22,1)*IF(BD23=3,BC23,1)</f>
        <v>1</v>
      </c>
      <c r="DJ22" s="134">
        <f>IF(BF20=3,BE20,1)*IF(BF21=3,BE21,1)*IF(BF22=3,BE22,1)*IF(BF23=3,BE23,1)</f>
        <v>1</v>
      </c>
      <c r="DK22" s="134">
        <f>IF(BH20=3,BG20,1)*IF(BH21=3,BG21,1)*IF(BH22=3,BG22,1)*IF(BH23=3,BG23,1)</f>
        <v>1</v>
      </c>
      <c r="DL22" s="134">
        <f>IF(BJ20=3,BI20,1)*IF(BJ21=3,BI21,1)*IF(BJ22=3,BI22,1)*IF(BJ23=3,BI23,1)</f>
        <v>1</v>
      </c>
      <c r="DM22" s="134">
        <f>IF(BL20=3,BK20,1)*IF(BL21=3,BK21,1)*IF(BL22=3,BK22,1)*IF(BL23=3,BK23,1)</f>
        <v>1</v>
      </c>
      <c r="DN22" s="134">
        <f>IF(BN20=3,BM20,1)*IF(BN21=3,BM21,1)*IF(BN22=3,BM22,1)*IF(BN23=3,BM23,1)</f>
        <v>1</v>
      </c>
      <c r="DO22" s="134">
        <f>IF(BP20=3,BO20,1)*IF(BP21=3,BO21,1)*IF(BP22=3,BO22,1)*IF(BP23=3,BO23,1)</f>
        <v>1</v>
      </c>
      <c r="DP22" s="134">
        <f>IF(BR20=3,BQ20,1)*IF(BR21=3,BQ21,1)*IF(BR22=3,BQ22,1)*IF(BR23=3,BQ23,1)</f>
        <v>1</v>
      </c>
      <c r="DQ22" s="144">
        <f t="shared" si="46"/>
        <v>2</v>
      </c>
    </row>
    <row r="23" spans="2:122" x14ac:dyDescent="0.25">
      <c r="B23" s="134">
        <v>4</v>
      </c>
      <c r="C23" s="135" t="s">
        <v>256</v>
      </c>
      <c r="F23" s="134" t="str">
        <f>'Descripcion Actividades'!C46</f>
        <v>1 Se requiere una sola modalidad de transporte</v>
      </c>
      <c r="G23" s="134">
        <v>1</v>
      </c>
      <c r="T23" s="134" t="str">
        <f>'Descripcion Actividades'!C87</f>
        <v>5 Se requiere aprovisionarse de medios de telecomunicación satelital.</v>
      </c>
      <c r="U23" s="134">
        <v>2</v>
      </c>
      <c r="V23" s="134" t="str">
        <f>'Descripcion Actividades'!C95</f>
        <v>1 No se requiere servicio de sonido en el contrato</v>
      </c>
      <c r="W23" s="134">
        <v>1</v>
      </c>
      <c r="X23" s="134" t="str">
        <f>'Descripcion Actividades'!C103</f>
        <v>2 Se requieren algunos ensayos de laboratorio y su disponibilidad es amplia.</v>
      </c>
      <c r="Y23" s="134">
        <v>1</v>
      </c>
      <c r="AH23" s="134" t="str">
        <f>'Descripcion Actividades'!C137</f>
        <v>1 La obra contempla actividades a nivel de piso.</v>
      </c>
      <c r="AI23" s="134">
        <v>1</v>
      </c>
      <c r="AN23" s="134">
        <f t="shared" si="6"/>
        <v>0</v>
      </c>
      <c r="AO23" s="134" t="str">
        <f t="shared" si="22"/>
        <v>1</v>
      </c>
      <c r="AP23" s="134">
        <f t="shared" si="7"/>
        <v>1</v>
      </c>
      <c r="AR23" s="134">
        <f t="shared" si="1"/>
        <v>0</v>
      </c>
      <c r="AT23" s="134">
        <f t="shared" si="1"/>
        <v>0</v>
      </c>
      <c r="AV23" s="134">
        <f t="shared" si="1"/>
        <v>0</v>
      </c>
      <c r="AX23" s="134">
        <f t="shared" si="1"/>
        <v>0</v>
      </c>
      <c r="AZ23" s="134">
        <f t="shared" si="2"/>
        <v>0</v>
      </c>
      <c r="BB23" s="134">
        <f t="shared" si="2"/>
        <v>0</v>
      </c>
      <c r="BC23" s="134" t="str">
        <f>MID(T23,1,1)</f>
        <v>5</v>
      </c>
      <c r="BD23" s="134">
        <f t="shared" si="2"/>
        <v>2</v>
      </c>
      <c r="BE23" s="134" t="str">
        <f>MID(V23,1,1)</f>
        <v>1</v>
      </c>
      <c r="BF23" s="134">
        <f t="shared" si="2"/>
        <v>1</v>
      </c>
      <c r="BG23" s="134" t="str">
        <f t="shared" si="47"/>
        <v>2</v>
      </c>
      <c r="BH23" s="134">
        <f t="shared" si="3"/>
        <v>1</v>
      </c>
      <c r="BJ23" s="134">
        <f t="shared" si="3"/>
        <v>0</v>
      </c>
      <c r="BL23" s="134">
        <f t="shared" si="3"/>
        <v>0</v>
      </c>
      <c r="BN23" s="134">
        <f t="shared" si="3"/>
        <v>0</v>
      </c>
      <c r="BP23" s="134">
        <f t="shared" si="4"/>
        <v>0</v>
      </c>
      <c r="BQ23" s="134" t="str">
        <f>MID(AH23,1,1)</f>
        <v>1</v>
      </c>
      <c r="BR23" s="134">
        <f t="shared" si="4"/>
        <v>1</v>
      </c>
      <c r="BT23" s="134">
        <f t="shared" si="4"/>
        <v>0</v>
      </c>
      <c r="BW23" s="134">
        <f>VALUE(AO23)</f>
        <v>1</v>
      </c>
      <c r="CD23" s="134">
        <f>VALUE(BC23)</f>
        <v>5</v>
      </c>
      <c r="CE23" s="134">
        <f>VALUE(BE23)</f>
        <v>1</v>
      </c>
      <c r="CF23" s="134">
        <f t="shared" si="48"/>
        <v>2</v>
      </c>
      <c r="CK23" s="134">
        <f>VALUE(BQ23)</f>
        <v>1</v>
      </c>
      <c r="CL23" s="142"/>
      <c r="CX23" s="144"/>
      <c r="CY23" s="144"/>
      <c r="CZ23" s="144"/>
      <c r="DA23" s="134">
        <f>IF(AN20=4,AM20,1)*IF(AN21=4,AM21,1)*IF(AN22=4,AM22,1)*IF(AN23=4,AM23,1)</f>
        <v>1</v>
      </c>
      <c r="DB23" s="134">
        <f>IF(AP20=4,AO20,1)*IF(AP21=4,AO21,1)*IF(AP22=4,AO22,1)*IF(AP23=4,AO23,1)</f>
        <v>1</v>
      </c>
      <c r="DC23" s="134">
        <f>IF(AR20=4,AQ20,1)*IF(AR21=4,AQ21,1)*IF(AR22=4,AQ22,1)*IF(AR23=4,AQ23,1)</f>
        <v>1</v>
      </c>
      <c r="DD23" s="134">
        <f>IF(AT20=4,AS20,1)*IF(AT21=4,AS21,1)*IF(AT22=4,AS22,1)*IF(AT23=4,AS23,1)</f>
        <v>1</v>
      </c>
      <c r="DE23" s="134">
        <f>IF(AV20=4,AU20,1)*IF(AV21=4,AU21,1)*IF(AV22=4,AU22,1)*IF(AV23=4,AU23,1)</f>
        <v>1</v>
      </c>
      <c r="DF23" s="134">
        <f>IF(AX20=4,AW20,1)*IF(AX21=4,AW21,1)*IF(AX22=4,AW22,1)*IF(AX23=4,AW23,1)</f>
        <v>1</v>
      </c>
      <c r="DG23" s="134">
        <f>IF(AZ20=4,AY20,1)*IF(AZ21=4,AY21,1)*IF(AZ22=4,AY22,1)*IF(AZ23=4,AY23,1)</f>
        <v>1</v>
      </c>
      <c r="DH23" s="134">
        <f>IF(BB20=4,BA20,1)*IF(BB21=4,BA21,1)*IF(BB22=4,BA22,1)*IF(BB23=4,BA23,1)</f>
        <v>1</v>
      </c>
      <c r="DI23" s="134">
        <f>IF(BD20=4,BC20,1)*IF(BD21=4,BC21,1)*IF(BD22=4,BC22,1)*IF(BD23=4,BC23,1)</f>
        <v>1</v>
      </c>
      <c r="DJ23" s="134">
        <f>IF(BF20=4,BE20,1)*IF(BF21=4,BE21,1)*IF(BF22=4,BE22,1)*IF(BF23=4,BE23,1)</f>
        <v>1</v>
      </c>
      <c r="DK23" s="134">
        <f>IF(BH20=4,BG20,1)*IF(BH21=4,BG21,1)*IF(BH22=4,BG22,1)*IF(BH23=4,BG23,1)</f>
        <v>1</v>
      </c>
      <c r="DL23" s="134">
        <f>IF(BJ20=4,BI20,1)*IF(BJ21=4,BI21,1)*IF(BJ22=4,BI22,1)*IF(BJ23=4,BI23,1)</f>
        <v>1</v>
      </c>
      <c r="DM23" s="134">
        <f>IF(BL20=4,BK20,1)*IF(BL21=4,BK21,1)*IF(BL22=4,BK22,1)*IF(BL23=4,BK23,1)</f>
        <v>1</v>
      </c>
      <c r="DN23" s="134">
        <f>IF(BN20=4,BM20,1)*IF(BN21=4,BM21,1)*IF(BN22=4,BM22,1)*IF(BN23=4,BM23,1)</f>
        <v>1</v>
      </c>
      <c r="DO23" s="134">
        <f>IF(BP20=4,BO20,1)*IF(BP21=4,BO21,1)*IF(BP22=4,BO22,1)*IF(BP23=4,BO23,1)</f>
        <v>1</v>
      </c>
      <c r="DP23" s="134">
        <f>IF(BR20=4,BQ20,1)*IF(BR21=4,BQ21,1)*IF(BR22=4,BQ22,1)*IF(BR23=4,BQ23,1)</f>
        <v>1</v>
      </c>
      <c r="DQ23" s="144">
        <f t="shared" si="46"/>
        <v>1</v>
      </c>
    </row>
    <row r="24" spans="2:122" s="144" customFormat="1" x14ac:dyDescent="0.25">
      <c r="C24" s="147"/>
      <c r="AN24" s="134">
        <f t="shared" si="6"/>
        <v>0</v>
      </c>
      <c r="AP24" s="134">
        <f t="shared" si="7"/>
        <v>0</v>
      </c>
      <c r="AR24" s="134">
        <f t="shared" si="1"/>
        <v>0</v>
      </c>
      <c r="AT24" s="134">
        <f t="shared" si="1"/>
        <v>0</v>
      </c>
      <c r="AV24" s="134">
        <f t="shared" si="1"/>
        <v>0</v>
      </c>
      <c r="AX24" s="134">
        <f t="shared" si="1"/>
        <v>0</v>
      </c>
      <c r="AZ24" s="134">
        <f t="shared" si="2"/>
        <v>0</v>
      </c>
      <c r="BB24" s="134">
        <f t="shared" si="2"/>
        <v>0</v>
      </c>
      <c r="BD24" s="134">
        <f t="shared" si="2"/>
        <v>0</v>
      </c>
      <c r="BF24" s="134">
        <f t="shared" si="2"/>
        <v>0</v>
      </c>
      <c r="BH24" s="134">
        <f t="shared" si="3"/>
        <v>0</v>
      </c>
      <c r="BJ24" s="134">
        <f t="shared" si="3"/>
        <v>0</v>
      </c>
      <c r="BL24" s="134">
        <f t="shared" si="3"/>
        <v>0</v>
      </c>
      <c r="BN24" s="134">
        <f t="shared" si="3"/>
        <v>0</v>
      </c>
      <c r="BP24" s="134">
        <f t="shared" si="4"/>
        <v>0</v>
      </c>
      <c r="BR24" s="134">
        <f t="shared" si="4"/>
        <v>0</v>
      </c>
      <c r="BT24" s="134">
        <f t="shared" si="4"/>
        <v>0</v>
      </c>
      <c r="BV24" s="144">
        <f>BV20*BV21*BV22</f>
        <v>6</v>
      </c>
      <c r="BW24" s="144">
        <f>BW20*BW21*BW22*BW23</f>
        <v>48</v>
      </c>
      <c r="BX24" s="144">
        <f>BX20*BX21</f>
        <v>1</v>
      </c>
      <c r="BY24" s="144">
        <f>BY20*BY21</f>
        <v>1</v>
      </c>
      <c r="BZ24" s="144">
        <f>BZ20*BZ21</f>
        <v>1</v>
      </c>
      <c r="CA24" s="144">
        <f>CA20</f>
        <v>1</v>
      </c>
      <c r="CB24" s="144">
        <f>CB20</f>
        <v>1</v>
      </c>
      <c r="CC24" s="144">
        <f>CC20</f>
        <v>1</v>
      </c>
      <c r="CD24" s="144">
        <f>CD20*CD21*CD22*CD23</f>
        <v>10</v>
      </c>
      <c r="CE24" s="144">
        <f>CE20*CE21*CE22*CE23</f>
        <v>80</v>
      </c>
      <c r="CF24" s="144">
        <f>CF20*CF21*CF22*CF23</f>
        <v>8</v>
      </c>
      <c r="CG24" s="144">
        <f>CG20</f>
        <v>1</v>
      </c>
      <c r="CH24" s="144">
        <f>CH20*CH21*CH22</f>
        <v>27</v>
      </c>
      <c r="CI24" s="144">
        <f>CI20</f>
        <v>2</v>
      </c>
      <c r="CJ24" s="144">
        <f>CJ20*CJ21*CJ22</f>
        <v>24</v>
      </c>
      <c r="CK24" s="144">
        <f>CK20*CK21*CK22*CK23</f>
        <v>2</v>
      </c>
      <c r="CL24" s="148">
        <f>PRODUCT(BV24:CK24)</f>
        <v>4777574400</v>
      </c>
      <c r="CX24" s="144" t="str">
        <f>IF(CL24&lt;CO5,'cap.7 - analisis riesgos'!$B$15,IF('Eval Factores de Riesgo'!CL24&lt;'Eval Factores de Riesgo'!CP5,'cap.7 - analisis riesgos'!$B$16,IF('Eval Factores de Riesgo'!CL24&lt;'Eval Factores de Riesgo'!CQ5,'cap.7 - analisis riesgos'!$B$17,IF('Eval Factores de Riesgo'!CL24&lt;'Eval Factores de Riesgo'!CS5,'cap.7 - analisis riesgos'!$B$18,'cap.7 - analisis riesgos'!$B$19))))</f>
        <v>Probable</v>
      </c>
      <c r="CY24" s="144">
        <f>IF(CL24&lt;CP5,'cap.7 - analisis riesgos'!$G$15,IF('Eval Factores de Riesgo'!CL24&lt;'Eval Factores de Riesgo'!CQ5,'cap.7 - analisis riesgos'!$G$16,IF('Eval Factores de Riesgo'!CL24&lt;'Eval Factores de Riesgo'!CS5,'cap.7 - analisis riesgos'!$G$17,IF('Eval Factores de Riesgo'!CL24&lt;'Eval Factores de Riesgo'!CT5,'cap.7 - analisis riesgos'!$G$18,'cap.7 - analisis riesgos'!$G$19))))</f>
        <v>3</v>
      </c>
      <c r="CZ24" s="144">
        <f>MAX(DA24:DP24)</f>
        <v>80</v>
      </c>
      <c r="DA24" s="144">
        <f>PRODUCT(DA20:DA23)</f>
        <v>6</v>
      </c>
      <c r="DB24" s="144">
        <f t="shared" ref="DB24:DP24" si="51">PRODUCT(DB20:DB23)</f>
        <v>48</v>
      </c>
      <c r="DC24" s="144">
        <f t="shared" si="51"/>
        <v>1</v>
      </c>
      <c r="DD24" s="144">
        <f t="shared" si="51"/>
        <v>1</v>
      </c>
      <c r="DE24" s="144">
        <f t="shared" si="51"/>
        <v>1</v>
      </c>
      <c r="DF24" s="144">
        <f t="shared" si="51"/>
        <v>1</v>
      </c>
      <c r="DG24" s="144">
        <f t="shared" si="51"/>
        <v>1</v>
      </c>
      <c r="DH24" s="144">
        <f t="shared" si="51"/>
        <v>1</v>
      </c>
      <c r="DI24" s="144">
        <f t="shared" si="51"/>
        <v>10</v>
      </c>
      <c r="DJ24" s="144">
        <f t="shared" si="51"/>
        <v>80</v>
      </c>
      <c r="DK24" s="144">
        <f t="shared" si="51"/>
        <v>8</v>
      </c>
      <c r="DL24" s="144">
        <f t="shared" si="51"/>
        <v>1</v>
      </c>
      <c r="DM24" s="144">
        <f t="shared" si="51"/>
        <v>27</v>
      </c>
      <c r="DN24" s="144">
        <f t="shared" si="51"/>
        <v>2</v>
      </c>
      <c r="DO24" s="144">
        <f t="shared" si="51"/>
        <v>24</v>
      </c>
      <c r="DP24" s="144">
        <f t="shared" si="51"/>
        <v>2</v>
      </c>
    </row>
    <row r="25" spans="2:122" s="144" customFormat="1" x14ac:dyDescent="0.25">
      <c r="C25" s="147"/>
      <c r="AN25" s="134"/>
      <c r="AP25" s="134"/>
      <c r="AR25" s="134"/>
      <c r="AT25" s="134"/>
      <c r="AV25" s="134"/>
      <c r="AX25" s="134"/>
      <c r="AZ25" s="134"/>
      <c r="BB25" s="134"/>
      <c r="BD25" s="134"/>
      <c r="BF25" s="134"/>
      <c r="BH25" s="134"/>
      <c r="BJ25" s="134"/>
      <c r="BL25" s="134"/>
      <c r="BN25" s="134"/>
      <c r="BP25" s="134"/>
      <c r="BR25" s="134"/>
      <c r="BT25" s="134"/>
      <c r="CL25" s="150"/>
      <c r="DA25" s="144">
        <f>$CZ$24-DA24</f>
        <v>74</v>
      </c>
      <c r="DB25" s="144">
        <f t="shared" ref="DB25:DP25" si="52">$CZ$24-DB24</f>
        <v>32</v>
      </c>
      <c r="DC25" s="144">
        <f t="shared" si="52"/>
        <v>79</v>
      </c>
      <c r="DD25" s="144">
        <f t="shared" si="52"/>
        <v>79</v>
      </c>
      <c r="DE25" s="144">
        <f t="shared" si="52"/>
        <v>79</v>
      </c>
      <c r="DF25" s="144">
        <f t="shared" si="52"/>
        <v>79</v>
      </c>
      <c r="DG25" s="144">
        <f t="shared" si="52"/>
        <v>79</v>
      </c>
      <c r="DH25" s="144">
        <f t="shared" si="52"/>
        <v>79</v>
      </c>
      <c r="DI25" s="144">
        <f t="shared" si="52"/>
        <v>70</v>
      </c>
      <c r="DJ25" s="144">
        <f t="shared" si="52"/>
        <v>0</v>
      </c>
      <c r="DK25" s="144">
        <f t="shared" si="52"/>
        <v>72</v>
      </c>
      <c r="DL25" s="144">
        <f t="shared" si="52"/>
        <v>79</v>
      </c>
      <c r="DM25" s="144">
        <f t="shared" si="52"/>
        <v>53</v>
      </c>
      <c r="DN25" s="144">
        <f t="shared" si="52"/>
        <v>78</v>
      </c>
      <c r="DO25" s="144">
        <f t="shared" si="52"/>
        <v>56</v>
      </c>
      <c r="DP25" s="144">
        <f t="shared" si="52"/>
        <v>78</v>
      </c>
      <c r="DR25" s="144">
        <f>IF(DA25=0,DA19,IF(DB25=0,DB19,IF(DC25=0,DC19,IF(DD25=0,DD19,IF(DE25=0,DE19,IF(DF25=0,DF19,IF(DG25=0,DG19,IF(DH25=0,DH19,IF(DI25=0,DI19,IF(DJ25=0,DJ19,IF(DK25=0,DK19,IF(DL25=0,DL19,IF(DM25=0,DM19,IF(DN25=0,DN19,IF(DO25=0,DO19,DP19)))))))))))))))</f>
        <v>12</v>
      </c>
    </row>
    <row r="26" spans="2:122" x14ac:dyDescent="0.25">
      <c r="C26" s="141" t="s">
        <v>25</v>
      </c>
      <c r="D26" s="136" t="s">
        <v>589</v>
      </c>
      <c r="F26" s="136" t="s">
        <v>589</v>
      </c>
      <c r="H26" s="152" t="s">
        <v>598</v>
      </c>
      <c r="J26" s="151" t="s">
        <v>593</v>
      </c>
      <c r="L26" s="151" t="s">
        <v>581</v>
      </c>
      <c r="N26" s="137" t="s">
        <v>579</v>
      </c>
      <c r="P26" s="137" t="s">
        <v>580</v>
      </c>
      <c r="R26" s="137" t="s">
        <v>583</v>
      </c>
      <c r="T26" s="137" t="s">
        <v>586</v>
      </c>
      <c r="V26" s="137" t="s">
        <v>587</v>
      </c>
      <c r="AN26" s="134">
        <f t="shared" si="6"/>
        <v>0</v>
      </c>
      <c r="AP26" s="134">
        <f t="shared" si="7"/>
        <v>0</v>
      </c>
      <c r="AR26" s="134">
        <f t="shared" si="1"/>
        <v>0</v>
      </c>
      <c r="AT26" s="134">
        <f t="shared" si="1"/>
        <v>0</v>
      </c>
      <c r="AV26" s="134">
        <f t="shared" si="1"/>
        <v>0</v>
      </c>
      <c r="AX26" s="134">
        <f t="shared" si="1"/>
        <v>0</v>
      </c>
      <c r="AZ26" s="134">
        <f t="shared" si="2"/>
        <v>0</v>
      </c>
      <c r="BB26" s="134">
        <f t="shared" si="2"/>
        <v>0</v>
      </c>
      <c r="BD26" s="134">
        <f t="shared" si="2"/>
        <v>0</v>
      </c>
      <c r="BF26" s="134">
        <f t="shared" si="2"/>
        <v>0</v>
      </c>
      <c r="BH26" s="134">
        <f t="shared" si="3"/>
        <v>0</v>
      </c>
      <c r="BJ26" s="134">
        <f t="shared" si="3"/>
        <v>0</v>
      </c>
      <c r="BL26" s="134">
        <f t="shared" si="3"/>
        <v>0</v>
      </c>
      <c r="BN26" s="134">
        <f t="shared" si="3"/>
        <v>0</v>
      </c>
      <c r="BP26" s="134">
        <f t="shared" si="4"/>
        <v>0</v>
      </c>
      <c r="BR26" s="134">
        <f t="shared" si="4"/>
        <v>0</v>
      </c>
      <c r="BT26" s="134">
        <f t="shared" si="4"/>
        <v>0</v>
      </c>
      <c r="CL26" s="138" t="s">
        <v>319</v>
      </c>
      <c r="CX26" s="144"/>
      <c r="CY26" s="144"/>
      <c r="CZ26" s="144"/>
      <c r="DA26" s="143">
        <f>IFERROR(VALUE(MID(D26,1,2)),"")</f>
        <v>5</v>
      </c>
      <c r="DB26" s="143">
        <f>IFERROR(VALUE(MID(F26,1,2)),"")</f>
        <v>5</v>
      </c>
      <c r="DC26" s="143">
        <f>IFERROR(VALUE(MID(H26,1,2)),"")</f>
        <v>8</v>
      </c>
      <c r="DD26" s="143">
        <f>IFERROR(VALUE(MID(J26,1,2)),"")</f>
        <v>9</v>
      </c>
      <c r="DE26" s="143">
        <f>IFERROR(VALUE(MID(L26,1,2)),"")</f>
        <v>10</v>
      </c>
      <c r="DF26" s="143">
        <f>IFERROR(VALUE(MID(N26,1,2)),"")</f>
        <v>11</v>
      </c>
      <c r="DG26" s="143">
        <f>IFERROR(VALUE(MID(P26,1,2)),"")</f>
        <v>12</v>
      </c>
      <c r="DH26" s="143">
        <f>IFERROR(VALUE(MID(R26,1,2)),"")</f>
        <v>14</v>
      </c>
      <c r="DI26" s="143">
        <f>IFERROR(VALUE(MID(T26,1,2)),"")</f>
        <v>15</v>
      </c>
      <c r="DJ26" s="143">
        <f>IFERROR(VALUE(MID(V26,1,2)),"")</f>
        <v>16</v>
      </c>
      <c r="DK26" s="143" t="str">
        <f>IFERROR(VALUE(MID(X26,1,2)),"")</f>
        <v/>
      </c>
      <c r="DL26" s="143" t="str">
        <f>IFERROR(VALUE(MID(Z26,1,2)),"")</f>
        <v/>
      </c>
      <c r="DM26" s="143" t="str">
        <f>IFERROR(VALUE(MID(AB26,1,2)),"")</f>
        <v/>
      </c>
      <c r="DN26" s="143" t="str">
        <f>IFERROR(VALUE(MID(AD26,1,2)),"")</f>
        <v/>
      </c>
      <c r="DO26" s="143" t="str">
        <f>IFERROR(VALUE(MID(AF26,1,2)),"")</f>
        <v/>
      </c>
      <c r="DP26" s="143" t="str">
        <f>IFERROR(VALUE(MID(AH26,1,2)),"")</f>
        <v/>
      </c>
      <c r="DQ26" s="144"/>
    </row>
    <row r="27" spans="2:122" x14ac:dyDescent="0.25">
      <c r="B27" s="134">
        <v>1</v>
      </c>
      <c r="C27" s="135" t="s">
        <v>257</v>
      </c>
      <c r="D27" s="134" t="str">
        <f>Contexto!C49</f>
        <v>4 Muy Relevante</v>
      </c>
      <c r="E27" s="134">
        <v>1</v>
      </c>
      <c r="F27" s="134" t="str">
        <f>Contexto!C63</f>
        <v>2 Si hay restricciones de acceso</v>
      </c>
      <c r="G27" s="134">
        <v>6</v>
      </c>
      <c r="H27" s="134" t="str">
        <f>'Descripcion Actividades'!C40</f>
        <v>4 Las actividades de transporte son inherentes al cumplimiento del objeto contractual.</v>
      </c>
      <c r="I27" s="134">
        <v>5</v>
      </c>
      <c r="J27" s="145" t="str">
        <f>'Descripcion Actividades'!C51</f>
        <v>1 El contrato no contempla actividades de manipulación y/o suministro de alimentos.</v>
      </c>
      <c r="K27" s="145">
        <v>2</v>
      </c>
      <c r="L27" s="146" t="str">
        <f>'Descripcion Actividades'!C55</f>
        <v>1 El contrato no contempla actividades de manipulación y/o suministro de medicamentos.</v>
      </c>
      <c r="M27" s="146">
        <v>2</v>
      </c>
      <c r="N27" s="134" t="str">
        <f>'Descripcion Actividades'!C63</f>
        <v>1 Todos los materiales e insumos requeridos son de amplia disponibilidad y accesibilidad.</v>
      </c>
      <c r="O27" s="134">
        <v>5</v>
      </c>
      <c r="P27" s="134" t="str">
        <f>'Descripcion Actividades'!C99</f>
        <v>2 Se requieren algunos servicios de alojamiento y su disponibilidad es amplia.</v>
      </c>
      <c r="Q27" s="134">
        <v>5</v>
      </c>
      <c r="R27" s="134" t="str">
        <f>'Descripcion Actividades'!C118</f>
        <v>2 Las máquinas, equipos y vehículos son de uso común y su disponibilidad es amplia.</v>
      </c>
      <c r="S27" s="134">
        <v>1</v>
      </c>
      <c r="T27" s="134" t="str">
        <f>'Descripcion Actividades'!C123</f>
        <v>4 El contrato contempla una cantidad apreciable de actividades de campo especializadas y/o complejas.</v>
      </c>
      <c r="U27" s="134">
        <v>1</v>
      </c>
      <c r="V27" s="134" t="str">
        <f>'Descripcion Actividades'!C131</f>
        <v>1 El contrato no contempla actividades de obra civil.</v>
      </c>
      <c r="W27" s="134">
        <v>1</v>
      </c>
      <c r="AM27" s="134" t="str">
        <f t="shared" si="21"/>
        <v>4</v>
      </c>
      <c r="AN27" s="134">
        <f t="shared" si="6"/>
        <v>1</v>
      </c>
      <c r="AO27" s="134" t="str">
        <f t="shared" si="22"/>
        <v>2</v>
      </c>
      <c r="AP27" s="134">
        <f t="shared" si="7"/>
        <v>6</v>
      </c>
      <c r="AQ27" s="134" t="str">
        <f>MID(H27,1,1)</f>
        <v>4</v>
      </c>
      <c r="AR27" s="134">
        <f t="shared" si="1"/>
        <v>5</v>
      </c>
      <c r="AS27" s="145" t="str">
        <f>MID(J27,1,1)</f>
        <v>1</v>
      </c>
      <c r="AT27" s="134">
        <f t="shared" si="1"/>
        <v>2</v>
      </c>
      <c r="AU27" s="146" t="str">
        <f>MID(L27,1,1)</f>
        <v>1</v>
      </c>
      <c r="AV27" s="134">
        <f t="shared" si="1"/>
        <v>2</v>
      </c>
      <c r="AW27" s="134" t="str">
        <f>MID(N27,1,1)</f>
        <v>1</v>
      </c>
      <c r="AX27" s="134">
        <f t="shared" si="1"/>
        <v>5</v>
      </c>
      <c r="AY27" s="134" t="str">
        <f>MID(P27,1,1)</f>
        <v>2</v>
      </c>
      <c r="AZ27" s="134">
        <f t="shared" si="2"/>
        <v>5</v>
      </c>
      <c r="BA27" s="134" t="str">
        <f>MID(R27,1,1)</f>
        <v>2</v>
      </c>
      <c r="BB27" s="134">
        <f t="shared" si="2"/>
        <v>1</v>
      </c>
      <c r="BC27" s="134" t="str">
        <f>MID(T27,1,1)</f>
        <v>4</v>
      </c>
      <c r="BD27" s="134">
        <f t="shared" si="2"/>
        <v>1</v>
      </c>
      <c r="BE27" s="134" t="str">
        <f>MID(V27,1,1)</f>
        <v>1</v>
      </c>
      <c r="BF27" s="134">
        <f t="shared" si="2"/>
        <v>1</v>
      </c>
      <c r="BH27" s="134">
        <f t="shared" si="3"/>
        <v>0</v>
      </c>
      <c r="BJ27" s="134">
        <f t="shared" si="3"/>
        <v>0</v>
      </c>
      <c r="BL27" s="134">
        <f t="shared" si="3"/>
        <v>0</v>
      </c>
      <c r="BN27" s="134">
        <f t="shared" si="3"/>
        <v>0</v>
      </c>
      <c r="BP27" s="134">
        <f t="shared" si="4"/>
        <v>0</v>
      </c>
      <c r="BR27" s="134">
        <f t="shared" si="4"/>
        <v>0</v>
      </c>
      <c r="BT27" s="134">
        <f t="shared" si="4"/>
        <v>0</v>
      </c>
      <c r="BV27" s="134">
        <f t="shared" si="14"/>
        <v>4</v>
      </c>
      <c r="BW27" s="134">
        <f>VALUE(AO27)</f>
        <v>2</v>
      </c>
      <c r="BX27" s="134">
        <f>VALUE(AQ27)</f>
        <v>4</v>
      </c>
      <c r="BY27" s="145">
        <f>VALUE(AS27)</f>
        <v>1</v>
      </c>
      <c r="BZ27" s="146">
        <f t="shared" ref="BZ27:BZ37" si="53">VALUE(AU27)</f>
        <v>1</v>
      </c>
      <c r="CA27" s="134">
        <f>VALUE(AW27)</f>
        <v>1</v>
      </c>
      <c r="CB27" s="134">
        <f>VALUE(AY27)</f>
        <v>2</v>
      </c>
      <c r="CC27" s="134">
        <f>VALUE(BA27)</f>
        <v>2</v>
      </c>
      <c r="CD27" s="134">
        <f>VALUE(BC27)</f>
        <v>4</v>
      </c>
      <c r="CE27" s="134">
        <f>VALUE(BE27)</f>
        <v>1</v>
      </c>
      <c r="CL27" s="142"/>
      <c r="CX27" s="144"/>
      <c r="CY27" s="144"/>
      <c r="CZ27" s="144"/>
      <c r="DA27" s="134">
        <f>IF(AN27=1,AM27,1)*IF(AN28=1,AM28,1)*IF(AN29=1,AM29,1)*IF(AN30=1,AM30,1)*IF(AN31=1,AM31,1)*IF(AN32=1,AM32,1)</f>
        <v>16</v>
      </c>
      <c r="DB27" s="134">
        <f>IF(AP27=1,AO27,1)*IF(AP28=1,AO28,1)*IF(AP29=1,AO29,1)*IF(AP30=1,AO30,1)*IF(AP31=1,AO31,1)*IF(AP32=1,AN32,1)</f>
        <v>1</v>
      </c>
      <c r="DC27" s="134">
        <f>IF(AR27=1,AQ27,1)*IF(AR28=1,AQ28,1)*IF(AR29=1,AQ29,1)*IF(AR30=1,AQ30,1)*IF(AR31=1,AQ31,1)*IF(AR32=1,AQ32,1)</f>
        <v>1</v>
      </c>
      <c r="DD27" s="134">
        <f>IF(AT27=1,AS27,1)*IF(AT28=1,AS28,1)*IF(AT29=1,AS29,1)*IF(AT30=1,AS30,1)*IF(AT31=1,AS31,1)*IF(AT32=1,AS32,1)</f>
        <v>1</v>
      </c>
      <c r="DE27" s="134">
        <f>IF(AV27=1,AU27,1)*IF(AV28=1,AU28,1)*IF(AV29=1,AU29,1)*IF(AV30=1,AU30,1)*IF(AV31=1,AU31,1)*IF(AV32=1,AU32,1)</f>
        <v>1</v>
      </c>
      <c r="DF27" s="134">
        <f>IF(AX27=1,AW27,1)*IF(AX28=1,AW28,1)*IF(AX29=1,AW29,1)*IF(AX30=1,AW30,1)*IF(AX31=1,AW31,1)*IF(AX32=1,AW32,1)</f>
        <v>1</v>
      </c>
      <c r="DG27" s="134">
        <f>IF(AZ27=1,AY27,1)*IF(AZ28=1,AY28,1)*IF(AZ29=1,AY29,1)*IF(AZ30=1,AY30,1)*IF(AZ31=1,AY31,1)*IF(AZ32=1,AY32,1)</f>
        <v>1</v>
      </c>
      <c r="DH27" s="134">
        <f>IF(BB27=1,BA27,1)*IF(BB28=1,BA28,1)*IF(BB29=1,BA29,1)*IF(BB30=1,BA30,1)*IF(BB31=1,BA31,1)*IF(BB32=1,BA32,1)</f>
        <v>2</v>
      </c>
      <c r="DI27" s="134">
        <f>IF(BD27=1,BC27,1)*IF(BD28=1,BC28,1)*IF(BD29=1,BC29,1)*IF(BD30=1,BC30,1)*IF(BD31=1,BC31,1)*IF(BD32=1,BC32,1)</f>
        <v>4</v>
      </c>
      <c r="DJ27" s="134">
        <f>IF(BF27=1,BE27,1)*IF(BF28=1,BE28,1)*IF(BF29=1,BE29,1)*IF(BF30=1,BE30,1)*IF(BF31=1,BE31,1)*IF(BF32=1,BE32,1)</f>
        <v>1</v>
      </c>
      <c r="DK27" s="134">
        <f>IF(BH27=1,BG27,1)*IF(BH28=1,BG28,1)*IF(BH29=1,BG29,1)*IF(BH30=1,BG30,1)*IF(BH31=1,BG31,1)*IF(BH32=1,BG32,1)</f>
        <v>1</v>
      </c>
      <c r="DL27" s="134">
        <f>IF(BJ27=1,BI27,1)*IF(BJ28=1,BI28,1)*IF(BJ29=1,BI29,1)*IF(BJ30=1,BI30,1)*IF(BJ31=1,BI31,1)*IF(BJ32=1,BI32,1)</f>
        <v>1</v>
      </c>
      <c r="DM27" s="134">
        <f>IF(BL27=1,BK27,1)*IF(BL28=1,BK28,1)*IF(BL29=1,BK29,1)*IF(BL30=1,BK30,1)*IF(BL31=1,BK31,1)*IF(BL32=1,BK32,1)</f>
        <v>1</v>
      </c>
      <c r="DN27" s="134">
        <f>IF(BN27=1,BM27,1)*IF(BN28=1,BM28,1)*IF(BN29=1,BM29,1)*IF(BN30=1,BM30,1)*IF(BN31=1,BM31,1)*IF(BN32=1,BM32,1)</f>
        <v>1</v>
      </c>
      <c r="DO27" s="134">
        <f>IF(BP27=1,BO27,1)*IF(BP28=1,BO28,1)*IF(BP29=1,BO29,1)*IF(BP30=1,BO30,1)*IF(BP31=1,BO31,1)*IF(BP32=1,BO32,1)</f>
        <v>1</v>
      </c>
      <c r="DP27" s="134">
        <f>IF(BR27=1,BQ27,1)*IF(BR28=1,BQ28,1)*IF(BR29=1,BQ29,1)*IF(BR30=1,BQ30,1)*IF(BR31=1,BQ31,1)*IF(BR32=1,BQ32,1)</f>
        <v>1</v>
      </c>
      <c r="DQ27" s="144">
        <f t="shared" ref="DQ27:DQ32" si="54">PRODUCT(DA27:DP27)</f>
        <v>128</v>
      </c>
      <c r="DR27" s="134">
        <f>IF((DQ27-MAX(DQ27:DQ32))=0,B27,IF((DQ28-MAX(DQ27:DQ32))=0,B28,IF((DQ29-MAX(DQ27:DQ32))=0,B29,IF((DQ30-MAX(DQ27:DQ32))=0,B30,IF((DQ31-MAX(DQ27:DQ32))=0,B31,B32)))))</f>
        <v>5</v>
      </c>
    </row>
    <row r="28" spans="2:122" x14ac:dyDescent="0.25">
      <c r="B28" s="134">
        <v>2</v>
      </c>
      <c r="C28" s="135" t="s">
        <v>258</v>
      </c>
      <c r="D28" s="134" t="str">
        <f>Contexto!C51</f>
        <v>4 El valor agregado del municipio es inferior a $100 mil millones.</v>
      </c>
      <c r="E28" s="134">
        <v>2</v>
      </c>
      <c r="F28" s="134" t="str">
        <f>Contexto!C65</f>
        <v>1 No hay restricciones de carácter cultural o religioso.</v>
      </c>
      <c r="G28" s="134">
        <v>6</v>
      </c>
      <c r="H28" s="134" t="str">
        <f>'Descripcion Actividades'!C42</f>
        <v>3 Las actividades de transporte son frecuentes y periódicas</v>
      </c>
      <c r="I28" s="134">
        <v>5</v>
      </c>
      <c r="J28" s="134" t="str">
        <f>'Descripcion Actividades'!C53</f>
        <v>1 Nada Relevante</v>
      </c>
      <c r="K28" s="134">
        <v>2</v>
      </c>
      <c r="L28" s="146" t="str">
        <f>'Descripcion Actividades'!C53</f>
        <v>1 Nada Relevante</v>
      </c>
      <c r="M28" s="146">
        <v>2</v>
      </c>
      <c r="N28" s="134" t="str">
        <f>'Descripcion Actividades'!C65</f>
        <v>1 Hay múltiples fuentes para la consecusión de los materiales e insumos.</v>
      </c>
      <c r="O28" s="134">
        <v>5</v>
      </c>
      <c r="P28" s="134" t="str">
        <f>'Descripcion Actividades'!C101</f>
        <v>2 Se requieren algunos servicios sanitarios y su disponibilidad es amplia.</v>
      </c>
      <c r="Q28" s="134">
        <v>5</v>
      </c>
      <c r="T28" s="134" t="str">
        <f>'Descripcion Actividades'!C125</f>
        <v>2 El lugar para la ejecución del contrato es de fácil acceso y pero los tiempos para acceder pueden variar.</v>
      </c>
      <c r="U28" s="134">
        <v>5</v>
      </c>
      <c r="V28" s="134" t="str">
        <f>'Descripcion Actividades'!C133</f>
        <v>1 Se contempla un único frente de obra.</v>
      </c>
      <c r="W28" s="134">
        <v>5</v>
      </c>
      <c r="AM28" s="134" t="str">
        <f t="shared" si="21"/>
        <v>4</v>
      </c>
      <c r="AN28" s="134">
        <f t="shared" si="6"/>
        <v>2</v>
      </c>
      <c r="AO28" s="134" t="str">
        <f t="shared" si="22"/>
        <v>1</v>
      </c>
      <c r="AP28" s="134">
        <f t="shared" si="7"/>
        <v>6</v>
      </c>
      <c r="AQ28" s="134" t="str">
        <f>MID(H28,1,1)</f>
        <v>3</v>
      </c>
      <c r="AR28" s="134">
        <f t="shared" si="1"/>
        <v>5</v>
      </c>
      <c r="AS28" s="145" t="str">
        <f>MID(J28,1,1)</f>
        <v>1</v>
      </c>
      <c r="AT28" s="134">
        <f t="shared" si="1"/>
        <v>2</v>
      </c>
      <c r="AU28" s="146" t="str">
        <f>MID(L28,1,1)</f>
        <v>1</v>
      </c>
      <c r="AV28" s="134">
        <f t="shared" si="1"/>
        <v>2</v>
      </c>
      <c r="AW28" s="134" t="str">
        <f>MID(N28,1,1)</f>
        <v>1</v>
      </c>
      <c r="AX28" s="134">
        <f t="shared" si="1"/>
        <v>5</v>
      </c>
      <c r="AY28" s="134" t="str">
        <f t="shared" ref="AY28:AY30" si="55">MID(P28,1,1)</f>
        <v>2</v>
      </c>
      <c r="AZ28" s="134">
        <f t="shared" si="2"/>
        <v>5</v>
      </c>
      <c r="BB28" s="134">
        <f t="shared" si="2"/>
        <v>0</v>
      </c>
      <c r="BC28" s="134" t="str">
        <f>MID(T28,1,1)</f>
        <v>2</v>
      </c>
      <c r="BD28" s="134">
        <f t="shared" si="2"/>
        <v>5</v>
      </c>
      <c r="BE28" s="134" t="str">
        <f>MID(V28,1,1)</f>
        <v>1</v>
      </c>
      <c r="BF28" s="134">
        <f t="shared" si="2"/>
        <v>5</v>
      </c>
      <c r="BH28" s="134">
        <f t="shared" si="3"/>
        <v>0</v>
      </c>
      <c r="BJ28" s="134">
        <f t="shared" si="3"/>
        <v>0</v>
      </c>
      <c r="BL28" s="134">
        <f t="shared" si="3"/>
        <v>0</v>
      </c>
      <c r="BN28" s="134">
        <f t="shared" si="3"/>
        <v>0</v>
      </c>
      <c r="BP28" s="134">
        <f t="shared" si="4"/>
        <v>0</v>
      </c>
      <c r="BR28" s="134">
        <f t="shared" si="4"/>
        <v>0</v>
      </c>
      <c r="BT28" s="134">
        <f t="shared" si="4"/>
        <v>0</v>
      </c>
      <c r="BV28" s="134">
        <f t="shared" si="14"/>
        <v>4</v>
      </c>
      <c r="BW28" s="134">
        <f>VALUE(AO28)</f>
        <v>1</v>
      </c>
      <c r="BX28" s="134">
        <f>VALUE(AQ28)</f>
        <v>3</v>
      </c>
      <c r="BY28" s="145">
        <f>VALUE(AS28)</f>
        <v>1</v>
      </c>
      <c r="BZ28" s="146">
        <f t="shared" si="53"/>
        <v>1</v>
      </c>
      <c r="CA28" s="134">
        <f>VALUE(AW28)</f>
        <v>1</v>
      </c>
      <c r="CB28" s="134">
        <f t="shared" ref="CB28:CB30" si="56">VALUE(AY28)</f>
        <v>2</v>
      </c>
      <c r="CD28" s="134">
        <f>VALUE(BC28)</f>
        <v>2</v>
      </c>
      <c r="CE28" s="134">
        <f>VALUE(BE28)</f>
        <v>1</v>
      </c>
      <c r="CL28" s="142"/>
      <c r="CX28" s="144"/>
      <c r="CY28" s="144"/>
      <c r="CZ28" s="144"/>
      <c r="DA28" s="134">
        <f>IF(AN27=2,AM27,1)*IF(AN28=2,AM28,1)*IF(AN29=2,AM29,1)*IF(AN30=2,AM30,1)*IF(AN31=2,AM31,1)*IF(AN32=2,AM32,1)</f>
        <v>4</v>
      </c>
      <c r="DB28" s="134">
        <f>IF(AP27=2,AO27,1)*IF(AP28=2,AO28,1)*IF(AP29=2,AO29,1)*IF(AP30=2,AO30,1)*IF(AP31=2,AO31,1)*IF(AP32=2,AN32,1)</f>
        <v>1</v>
      </c>
      <c r="DC28" s="134">
        <f>IF(AR27=2,AQ27,1)*IF(AR28=2,AQ28,1)*IF(AR29=2,AQ29,1)*IF(AR30=2,AQ30,1)*IF(AR31=2,AQ31,1)*IF(AR32=2,AQ32,1)</f>
        <v>1</v>
      </c>
      <c r="DD28" s="134">
        <f>IF(AT27=2,AS27,1)*IF(AT28=2,AS28,1)*IF(AT29=2,AS29,1)*IF(AT30=2,AS30,1)*IF(AT31=2,AS31,1)*IF(AT32=2,AS32,1)</f>
        <v>1</v>
      </c>
      <c r="DE28" s="134">
        <f>IF(AV27=2,AU27,1)*IF(AV28=2,AU28,1)*IF(AV29=2,AU29,1)*IF(AV30=2,AU30,1)*IF(AV31=2,AU31,1)*IF(AV32=2,AU32,1)</f>
        <v>1</v>
      </c>
      <c r="DF28" s="134">
        <f>IF(AX27=2,AW27,1)*IF(AX28=2,AW28,1)*IF(AX29=2,AW29,1)*IF(AX30=2,AW30,1)*IF(AX31=2,AW31,1)*IF(AX32=2,AW32,1)</f>
        <v>1</v>
      </c>
      <c r="DG28" s="134">
        <f>IF(AZ27=2,AY27,1)*IF(AZ28=2,AY28,1)*IF(AZ29=2,AY29,1)*IF(AZ30=2,AY30,1)*IF(AZ31=2,AY31,1)*IF(AZ32=2,AY32,1)</f>
        <v>1</v>
      </c>
      <c r="DH28" s="134">
        <f>IF(BB27=2,BA27,1)*IF(BB28=2,BA28,1)*IF(BB29=2,BA29,1)*IF(BB30=2,BA30,1)*IF(BB31=2,BA31,1)*IF(BB32=2,BA32,1)</f>
        <v>1</v>
      </c>
      <c r="DI28" s="134">
        <f>IF(BD27=2,BC27,1)*IF(BD28=2,BC28,1)*IF(BD29=2,BC29,1)*IF(BD30=2,BC30,1)*IF(BD31=2,BC31,1)*IF(BD32=2,BC32,1)</f>
        <v>1</v>
      </c>
      <c r="DJ28" s="134">
        <f>IF(BF27=2,BE27,1)*IF(BF28=2,BE28,1)*IF(BF29=2,BE29,1)*IF(BF30=2,BE30,1)*IF(BF31=2,BE31,1)*IF(BF32=2,BE32,1)</f>
        <v>1</v>
      </c>
      <c r="DK28" s="134">
        <f>IF(BH27=2,BG27,1)*IF(BH28=2,BG28,1)*IF(BH29=2,BG29,1)*IF(BH30=2,BG30,1)*IF(BH31=2,BG31,1)*IF(BH32=2,BG32,1)</f>
        <v>1</v>
      </c>
      <c r="DL28" s="134">
        <f>IF(BJ27=2,BI27,1)*IF(BJ28=2,BI28,1)*IF(BJ29=2,BI29,1)*IF(BJ30=2,BI30,1)*IF(BJ31=2,BI31,1)*IF(BJ32=2,BI32,1)</f>
        <v>1</v>
      </c>
      <c r="DM28" s="134">
        <f>IF(BL27=2,BK27,1)*IF(BL28=2,BK28,1)*IF(BL29=2,BK29,1)*IF(BL30=2,BK30,1)*IF(BL31=2,BK31,1)*IF(BL32=2,BK32,1)</f>
        <v>1</v>
      </c>
      <c r="DN28" s="134">
        <f>IF(BN27=2,BM27,1)*IF(BN28=2,BM28,1)*IF(BN29=2,BM29,1)*IF(BN30=2,BM30,1)*IF(BN31=2,BM31,1)*IF(BN32=2,BM32,1)</f>
        <v>1</v>
      </c>
      <c r="DO28" s="134">
        <f>IF(BP27=2,BO27,1)*IF(BP28=2,BO28,1)*IF(BP29=2,BO29,1)*IF(BP30=2,BO30,1)*IF(BP31=2,BO31,1)*IF(BP32=2,BO32,1)</f>
        <v>1</v>
      </c>
      <c r="DP28" s="134">
        <f>IF(BR27=2,BQ27,1)*IF(BR28=2,BQ28,1)*IF(BR29=2,BQ29,1)*IF(BR30=2,BQ30,1)*IF(BR31=2,BQ31,1)*IF(BR32=2,BQ32,1)</f>
        <v>1</v>
      </c>
      <c r="DQ28" s="144">
        <f t="shared" si="54"/>
        <v>4</v>
      </c>
    </row>
    <row r="29" spans="2:122" x14ac:dyDescent="0.25">
      <c r="B29" s="134">
        <v>3</v>
      </c>
      <c r="C29" s="135" t="s">
        <v>259</v>
      </c>
      <c r="D29" s="134" t="str">
        <f>Contexto!C53</f>
        <v>1 Agrícola y/o ganadera</v>
      </c>
      <c r="E29" s="134">
        <v>2</v>
      </c>
      <c r="H29" s="134" t="str">
        <f>'Descripcion Actividades'!C44</f>
        <v>4 Es necesario contratar servicios exculsivos de transporte</v>
      </c>
      <c r="I29" s="134">
        <v>5</v>
      </c>
      <c r="N29" s="134" t="str">
        <f>'Descripcion Actividades'!C67</f>
        <v>1 No se requiere recorrer trayectos superiores a 5 kilómetros para el aprovisionamiento de materiales e insumos.</v>
      </c>
      <c r="O29" s="134">
        <v>5</v>
      </c>
      <c r="P29" s="134" t="str">
        <f>'Descripcion Actividades'!C103</f>
        <v>2 Se requieren algunos ensayos de laboratorio y su disponibilidad es amplia.</v>
      </c>
      <c r="Q29" s="134">
        <v>5</v>
      </c>
      <c r="T29" s="134" t="str">
        <f>'Descripcion Actividades'!C127</f>
        <v>3 La ejecución del contrato se hace en lugares dispersos en un mismo departamento.</v>
      </c>
      <c r="U29" s="134">
        <v>5</v>
      </c>
      <c r="V29" s="134" t="str">
        <f>'Descripcion Actividades'!C135</f>
        <v>2 El lugar para la ejecución del contrato es de fácil acceso y pero los tiempos para acceder pueden variar.</v>
      </c>
      <c r="W29" s="134">
        <v>5</v>
      </c>
      <c r="AM29" s="134" t="str">
        <f t="shared" si="21"/>
        <v>1</v>
      </c>
      <c r="AN29" s="134">
        <f t="shared" si="6"/>
        <v>2</v>
      </c>
      <c r="AP29" s="134">
        <f t="shared" si="7"/>
        <v>0</v>
      </c>
      <c r="AQ29" s="134" t="str">
        <f>MID(H29,1,1)</f>
        <v>4</v>
      </c>
      <c r="AR29" s="134">
        <f t="shared" si="1"/>
        <v>5</v>
      </c>
      <c r="AT29" s="134">
        <f t="shared" si="1"/>
        <v>0</v>
      </c>
      <c r="AV29" s="134">
        <f t="shared" si="1"/>
        <v>0</v>
      </c>
      <c r="AW29" s="134" t="str">
        <f>MID(N29,1,1)</f>
        <v>1</v>
      </c>
      <c r="AX29" s="134">
        <f t="shared" si="1"/>
        <v>5</v>
      </c>
      <c r="AY29" s="134" t="str">
        <f t="shared" si="55"/>
        <v>2</v>
      </c>
      <c r="AZ29" s="134">
        <f t="shared" si="2"/>
        <v>5</v>
      </c>
      <c r="BB29" s="134">
        <f t="shared" si="2"/>
        <v>0</v>
      </c>
      <c r="BC29" s="134" t="str">
        <f>MID(T29,1,1)</f>
        <v>3</v>
      </c>
      <c r="BD29" s="134">
        <f t="shared" si="2"/>
        <v>5</v>
      </c>
      <c r="BE29" s="134" t="str">
        <f>MID(V29,1,1)</f>
        <v>2</v>
      </c>
      <c r="BF29" s="134">
        <f t="shared" si="2"/>
        <v>5</v>
      </c>
      <c r="BH29" s="134">
        <f t="shared" si="3"/>
        <v>0</v>
      </c>
      <c r="BJ29" s="134">
        <f t="shared" si="3"/>
        <v>0</v>
      </c>
      <c r="BL29" s="134">
        <f t="shared" si="3"/>
        <v>0</v>
      </c>
      <c r="BN29" s="134">
        <f t="shared" si="3"/>
        <v>0</v>
      </c>
      <c r="BP29" s="134">
        <f t="shared" si="4"/>
        <v>0</v>
      </c>
      <c r="BR29" s="134">
        <f t="shared" si="4"/>
        <v>0</v>
      </c>
      <c r="BT29" s="134">
        <f t="shared" si="4"/>
        <v>0</v>
      </c>
      <c r="BV29" s="134">
        <f t="shared" si="14"/>
        <v>1</v>
      </c>
      <c r="BX29" s="134">
        <f>VALUE(AQ29)</f>
        <v>4</v>
      </c>
      <c r="CA29" s="134">
        <f>VALUE(AW29)</f>
        <v>1</v>
      </c>
      <c r="CB29" s="134">
        <f t="shared" si="56"/>
        <v>2</v>
      </c>
      <c r="CD29" s="134">
        <f>VALUE(BC29)</f>
        <v>3</v>
      </c>
      <c r="CE29" s="134">
        <f>VALUE(BE29)</f>
        <v>2</v>
      </c>
      <c r="CL29" s="142"/>
      <c r="CX29" s="144"/>
      <c r="CY29" s="144"/>
      <c r="CZ29" s="144"/>
      <c r="DA29" s="134">
        <f>IF(AN27=3,AM27,1)*IF(AN28=3,AM28,1)*IF(AN29=3,AM29,1)*IF(AN30=3,AM30,1)*IF(AN31=3,AM31,1)*IF(AN32=3,AM32,1)</f>
        <v>1</v>
      </c>
      <c r="DB29" s="134">
        <f>IF(AP27=3,AO27,1)*IF(AP28=3,AO28,1)*IF(AP29=3,AO29,1)*IF(AP30=3,AO30,1)*IF(AP31=3,AO31,1)*IF(AP32=3,AN32,1)</f>
        <v>1</v>
      </c>
      <c r="DC29" s="134">
        <f>IF(AR27=3,AQ27,1)*IF(AR28=3,AQ28,1)*IF(AR29=3,AQ29,1)*IF(AR30=3,AQ30,1)*IF(AR31=3,AQ31,1)*IF(AR32=3,AQ32,1)</f>
        <v>1</v>
      </c>
      <c r="DD29" s="134">
        <f>IF(AT27=3,AS27,1)*IF(AT28=3,AS28,1)*IF(AT29=3,AS29,1)*IF(AT30=3,AS30,1)*IF(AT31=3,AS31,1)*IF(AT32=3,AS32,1)</f>
        <v>1</v>
      </c>
      <c r="DE29" s="134">
        <f>IF(AV27=3,AU27,1)*IF(AV28=3,AU28,1)*IF(AV29=3,AU29,1)*IF(AV30=3,AU30,1)*IF(AV31=3,AU31,1)*IF(AV32=3,AU32,1)</f>
        <v>1</v>
      </c>
      <c r="DF29" s="134">
        <f>IF(AX27=3,AW27,1)*IF(AX28=3,AW28,1)*IF(AX29=3,AW29,1)*IF(AX30=3,AW30,1)*IF(AX31=3,AW31,1)*IF(AX32=3,AW32,1)</f>
        <v>1</v>
      </c>
      <c r="DG29" s="134">
        <f>IF(AZ27=3,AY27,1)*IF(AZ28=3,AY28,1)*IF(AZ29=3,AY29,1)*IF(AZ30=3,AY30,1)*IF(AZ31=3,AY31,1)*IF(AZ32=3,AY32,1)</f>
        <v>1</v>
      </c>
      <c r="DH29" s="134">
        <f>IF(BB27=3,BA27,1)*IF(BB28=3,BA28,1)*IF(BB29=3,BA29,1)*IF(BB30=3,BA30,1)*IF(BB31=3,BA31,1)*IF(BB32=3,BA32,1)</f>
        <v>1</v>
      </c>
      <c r="DI29" s="134">
        <f>IF(BD27=3,BC27,1)*IF(BD28=3,BC28,1)*IF(BD29=3,BC29,1)*IF(BD30=3,BC30,1)*IF(BD31=3,BC31,1)*IF(BD32=3,BC32,1)</f>
        <v>1</v>
      </c>
      <c r="DJ29" s="134">
        <f>IF(BF27=3,BE27,1)*IF(BF28=3,BE28,1)*IF(BF29=3,BE29,1)*IF(BF30=3,BE30,1)*IF(BF31=3,BE31,1)*IF(BF32=3,BE32,1)</f>
        <v>1</v>
      </c>
      <c r="DK29" s="134">
        <f>IF(BH27=3,BG27,1)*IF(BH28=3,BG28,1)*IF(BH29=3,BG29,1)*IF(BH30=3,BG30,1)*IF(BH31=3,BG31,1)*IF(BH32=3,BG32,1)</f>
        <v>1</v>
      </c>
      <c r="DL29" s="134">
        <f>IF(BJ27=3,BI27,1)*IF(BJ28=3,BI28,1)*IF(BJ29=3,BI29,1)*IF(BJ30=3,BI30,1)*IF(BJ31=3,BI31,1)*IF(BJ32=3,BI32,1)</f>
        <v>1</v>
      </c>
      <c r="DM29" s="134">
        <f>IF(BL27=3,BK27,1)*IF(BL28=3,BK28,1)*IF(BL29=3,BK29,1)*IF(BL30=3,BK30,1)*IF(BL31=3,BK31,1)*IF(BL32=3,BK32,1)</f>
        <v>1</v>
      </c>
      <c r="DN29" s="134">
        <f>IF(BN27=3,BM27,1)*IF(BN28=3,BM28,1)*IF(BN29=3,BM29,1)*IF(BN30=3,BM30,1)*IF(BN31=3,BM31,1)*IF(BN32=3,BM32,1)</f>
        <v>1</v>
      </c>
      <c r="DO29" s="134">
        <f>IF(BP27=3,BO27,1)*IF(BP28=3,BO28,1)*IF(BP29=3,BO29,1)*IF(BP30=3,BO30,1)*IF(BP31=3,BO31,1)*IF(BP32=3,BO32,1)</f>
        <v>1</v>
      </c>
      <c r="DP29" s="134">
        <f>IF(BR27=3,BQ27,1)*IF(BR28=3,BQ28,1)*IF(BR29=3,BQ29,1)*IF(BR30=3,BQ30,1)*IF(BR31=3,BQ31,1)*IF(BR32=3,BQ32,1)</f>
        <v>1</v>
      </c>
      <c r="DQ29" s="144">
        <f t="shared" si="54"/>
        <v>1</v>
      </c>
    </row>
    <row r="30" spans="2:122" x14ac:dyDescent="0.25">
      <c r="B30" s="134">
        <v>4</v>
      </c>
      <c r="C30" s="135" t="s">
        <v>260</v>
      </c>
      <c r="D30" s="134" t="str">
        <f>Contexto!C55</f>
        <v>2 Hay registros de eventos aislados de grupos al margen de la ley.</v>
      </c>
      <c r="E30" s="134">
        <v>1</v>
      </c>
      <c r="H30" s="134" t="str">
        <f>'Descripcion Actividades'!C46</f>
        <v>1 Se requiere una sola modalidad de transporte</v>
      </c>
      <c r="I30" s="134">
        <v>5</v>
      </c>
      <c r="N30" s="134" t="str">
        <f>'Descripcion Actividades'!C73</f>
        <v>1 Los materiales e insumos son todos de origen nacional.</v>
      </c>
      <c r="O30" s="134">
        <v>5</v>
      </c>
      <c r="P30" s="134" t="str">
        <f>'Descripcion Actividades'!C105</f>
        <v>1 No se requieren disposición de residuos o escombros.</v>
      </c>
      <c r="Q30" s="134">
        <v>5</v>
      </c>
      <c r="AM30" s="134" t="str">
        <f t="shared" si="21"/>
        <v>2</v>
      </c>
      <c r="AN30" s="134">
        <f t="shared" si="6"/>
        <v>1</v>
      </c>
      <c r="AP30" s="134">
        <f t="shared" si="7"/>
        <v>0</v>
      </c>
      <c r="AQ30" s="134" t="str">
        <f>MID(H30,1,1)</f>
        <v>1</v>
      </c>
      <c r="AR30" s="134">
        <f t="shared" si="1"/>
        <v>5</v>
      </c>
      <c r="AT30" s="134">
        <f t="shared" si="1"/>
        <v>0</v>
      </c>
      <c r="AV30" s="134">
        <f t="shared" si="1"/>
        <v>0</v>
      </c>
      <c r="AW30" s="134" t="str">
        <f>MID(N30,1,1)</f>
        <v>1</v>
      </c>
      <c r="AX30" s="134">
        <f t="shared" si="1"/>
        <v>5</v>
      </c>
      <c r="AY30" s="134" t="str">
        <f t="shared" si="55"/>
        <v>1</v>
      </c>
      <c r="AZ30" s="134">
        <f t="shared" si="2"/>
        <v>5</v>
      </c>
      <c r="BB30" s="134">
        <f t="shared" si="2"/>
        <v>0</v>
      </c>
      <c r="BD30" s="134">
        <f t="shared" si="2"/>
        <v>0</v>
      </c>
      <c r="BF30" s="134">
        <f t="shared" si="2"/>
        <v>0</v>
      </c>
      <c r="BH30" s="134">
        <f t="shared" si="3"/>
        <v>0</v>
      </c>
      <c r="BJ30" s="134">
        <f t="shared" si="3"/>
        <v>0</v>
      </c>
      <c r="BL30" s="134">
        <f t="shared" si="3"/>
        <v>0</v>
      </c>
      <c r="BN30" s="134">
        <f t="shared" si="3"/>
        <v>0</v>
      </c>
      <c r="BP30" s="134">
        <f t="shared" si="4"/>
        <v>0</v>
      </c>
      <c r="BR30" s="134">
        <f t="shared" si="4"/>
        <v>0</v>
      </c>
      <c r="BT30" s="134">
        <f t="shared" si="4"/>
        <v>0</v>
      </c>
      <c r="BV30" s="134">
        <f t="shared" si="14"/>
        <v>2</v>
      </c>
      <c r="BX30" s="134">
        <f>VALUE(AQ30)</f>
        <v>1</v>
      </c>
      <c r="CA30" s="134">
        <f>VALUE(AW30)</f>
        <v>1</v>
      </c>
      <c r="CB30" s="134">
        <f t="shared" si="56"/>
        <v>1</v>
      </c>
      <c r="CL30" s="142"/>
      <c r="CX30" s="144"/>
      <c r="CY30" s="144"/>
      <c r="CZ30" s="144"/>
      <c r="DA30" s="134">
        <f>IF(AN27=4,AM27,1)*IF(AN28=4,AM28,1)*IF(AN29=4,AM29,1)*IF(AN30=4,AM30,1)*IF(AN31=4,AM31,1)*IF(AN32=4,AM32,1)</f>
        <v>1</v>
      </c>
      <c r="DB30" s="134">
        <f>IF(AP27=4,AO27,1)*IF(AP28=4,AO28,1)*IF(AP29=4,AO29,1)*IF(AP30=4,AO30,1)*IF(AP31=4,AO31,1)*IF(AP32=4,AN32,1)</f>
        <v>1</v>
      </c>
      <c r="DC30" s="134">
        <f>IF(AR27=4,AQ27,1)*IF(AR28=4,AQ28,1)*IF(AR29=4,AQ29,1)*IF(AR30=4,AQ30,1)*IF(AR31=4,AQ31,1)*IF(AR32=4,AQ32,1)</f>
        <v>1</v>
      </c>
      <c r="DD30" s="134">
        <f>IF(AT27=4,AS27,1)*IF(AT28=4,AS28,1)*IF(AT29=4,AS29,1)*IF(AT30=4,AS30,1)*IF(AT31=4,AS31,1)*IF(AT32=4,AS32,1)</f>
        <v>1</v>
      </c>
      <c r="DE30" s="134">
        <f>IF(AV27=4,AU27,1)*IF(AV28=4,AU28,1)*IF(AV29=4,AU29,1)*IF(AV30=4,AU30,1)*IF(AV31=4,AU31,1)*IF(AV32=4,AU32,1)</f>
        <v>1</v>
      </c>
      <c r="DF30" s="134">
        <f>IF(AX27=4,AW27,1)*IF(AX28=4,AW28,1)*IF(AX29=4,AW29,1)*IF(AX30=4,AW30,1)*IF(AX31=4,AW31,1)*IF(AX32=4,AW32,1)</f>
        <v>1</v>
      </c>
      <c r="DG30" s="134">
        <f>IF(AZ27=4,AY27,1)*IF(AZ28=4,AY28,1)*IF(AZ29=4,AY29,1)*IF(AZ30=4,AY30,1)*IF(AZ31=4,AY31,1)*IF(AZ32=4,AY32,1)</f>
        <v>1</v>
      </c>
      <c r="DH30" s="134">
        <f>IF(BB27=4,BA27,1)*IF(BB28=4,BA28,1)*IF(BB29=4,BA29,1)*IF(BB30=4,BA30,1)*IF(BB31=4,BA31,1)*IF(BB32=4,BA32,1)</f>
        <v>1</v>
      </c>
      <c r="DI30" s="134">
        <f>IF(BD27=4,BC27,1)*IF(BD28=4,BC28,1)*IF(BD29=4,BC29,1)*IF(BD30=4,BC30,1)*IF(BD31=4,BC31,1)*IF(BD32=4,BC32,1)</f>
        <v>1</v>
      </c>
      <c r="DJ30" s="134">
        <f>IF(BF27=4,BE27,1)*IF(BF28=4,BE28,1)*IF(BF29=4,BE29,1)*IF(BF30=4,BE30,1)*IF(BF31=4,BE31,1)*IF(BF32=4,BE32,1)</f>
        <v>1</v>
      </c>
      <c r="DK30" s="134">
        <f>IF(BH27=4,BG27,1)*IF(BH28=4,BG28,1)*IF(BH29=4,BG29,1)*IF(BH30=4,BG30,1)*IF(BH31=4,BG31,1)*IF(BH32=4,BG32,1)</f>
        <v>1</v>
      </c>
      <c r="DL30" s="134">
        <f>IF(BJ27=4,BI27,1)*IF(BJ28=4,BI28,1)*IF(BJ29=4,BI29,1)*IF(BJ30=4,BI30,1)*IF(BJ31=4,BI31,1)*IF(BJ32=4,BI32,1)</f>
        <v>1</v>
      </c>
      <c r="DM30" s="134">
        <f>IF(BL27=4,BK27,1)*IF(BL28=4,BK28,1)*IF(BL29=4,BK29,1)*IF(BL30=4,BK30,1)*IF(BL31=4,BK31,1)*IF(BL32=4,BK32,1)</f>
        <v>1</v>
      </c>
      <c r="DN30" s="134">
        <f>IF(BN27=4,BM27,1)*IF(BN28=4,BM28,1)*IF(BN29=4,BM29,1)*IF(BN30=4,BM30,1)*IF(BN31=4,BM31,1)*IF(BN32=4,BM32,1)</f>
        <v>1</v>
      </c>
      <c r="DO30" s="134">
        <f>IF(BP27=4,BO27,1)*IF(BP28=4,BO28,1)*IF(BP29=4,BO29,1)*IF(BP30=4,BO30,1)*IF(BP31=4,BO31,1)*IF(BP32=4,BO32,1)</f>
        <v>1</v>
      </c>
      <c r="DP30" s="134">
        <f>IF(BR27=4,BQ27,1)*IF(BR28=4,BQ28,1)*IF(BR29=4,BQ29,1)*IF(BR30=4,BQ30,1)*IF(BR31=4,BQ31,1)*IF(BR32=4,BQ32,1)</f>
        <v>1</v>
      </c>
      <c r="DQ30" s="144">
        <f t="shared" si="54"/>
        <v>1</v>
      </c>
    </row>
    <row r="31" spans="2:122" x14ac:dyDescent="0.25">
      <c r="B31" s="134">
        <v>5</v>
      </c>
      <c r="C31" s="135" t="s">
        <v>262</v>
      </c>
      <c r="D31" s="134" t="str">
        <f>Contexto!C59</f>
        <v>2 Hay registros de eventos aislados de victimización de líderes sociales.</v>
      </c>
      <c r="E31" s="134">
        <v>1</v>
      </c>
      <c r="N31" s="134" t="str">
        <f>'Descripcion Actividades'!C75</f>
        <v>1 No se contemplan materiales e insumos perecederos para la ejecución del contrato.</v>
      </c>
      <c r="O31" s="134">
        <v>5</v>
      </c>
      <c r="AM31" s="134" t="str">
        <f t="shared" si="21"/>
        <v>2</v>
      </c>
      <c r="AN31" s="134">
        <f t="shared" si="6"/>
        <v>1</v>
      </c>
      <c r="AP31" s="134">
        <f t="shared" si="7"/>
        <v>0</v>
      </c>
      <c r="AR31" s="134">
        <f t="shared" si="1"/>
        <v>0</v>
      </c>
      <c r="AT31" s="134">
        <f t="shared" si="1"/>
        <v>0</v>
      </c>
      <c r="AV31" s="134">
        <f t="shared" si="1"/>
        <v>0</v>
      </c>
      <c r="AW31" s="134" t="str">
        <f>MID(N31,1,1)</f>
        <v>1</v>
      </c>
      <c r="AX31" s="134">
        <f t="shared" si="1"/>
        <v>5</v>
      </c>
      <c r="AZ31" s="134">
        <f t="shared" si="2"/>
        <v>0</v>
      </c>
      <c r="BB31" s="134">
        <f t="shared" si="2"/>
        <v>0</v>
      </c>
      <c r="BD31" s="134">
        <f t="shared" si="2"/>
        <v>0</v>
      </c>
      <c r="BF31" s="134">
        <f t="shared" si="2"/>
        <v>0</v>
      </c>
      <c r="BH31" s="134">
        <f t="shared" si="3"/>
        <v>0</v>
      </c>
      <c r="BJ31" s="134">
        <f t="shared" si="3"/>
        <v>0</v>
      </c>
      <c r="BL31" s="134">
        <f t="shared" si="3"/>
        <v>0</v>
      </c>
      <c r="BN31" s="134">
        <f t="shared" si="3"/>
        <v>0</v>
      </c>
      <c r="BP31" s="134">
        <f t="shared" si="4"/>
        <v>0</v>
      </c>
      <c r="BR31" s="134">
        <f t="shared" si="4"/>
        <v>0</v>
      </c>
      <c r="BT31" s="134">
        <f t="shared" si="4"/>
        <v>0</v>
      </c>
      <c r="BV31" s="134">
        <f t="shared" si="14"/>
        <v>2</v>
      </c>
      <c r="CA31" s="134">
        <f>VALUE(AW31)</f>
        <v>1</v>
      </c>
      <c r="CL31" s="142"/>
      <c r="CX31" s="144"/>
      <c r="CY31" s="144"/>
      <c r="CZ31" s="144"/>
      <c r="DA31" s="134">
        <f>IF(AN27=5,AM27,1)*IF(AN28=5,AM28,1)*IF(AN29=5,AM29,1)*IF(AN30=5,AM30,1)*IF(AN31=5,AM31,1)*IF(AN32=5,AM32,1)</f>
        <v>1</v>
      </c>
      <c r="DB31" s="134">
        <f>IF(AP27=5,AO27,1)*IF(AP28=5,AO28,1)*IF(AP29=5,AO29,1)*IF(AP30=5,AO30,1)*IF(AP31=5,AO31,1)*IF(AP32=5,AN32,1)</f>
        <v>1</v>
      </c>
      <c r="DC31" s="134">
        <f>IF(AR27=5,AQ27,1)*IF(AR28=5,AQ28,1)*IF(AR29=5,AQ29,1)*IF(AR30=5,AQ30,1)*IF(AR31=5,AQ31,1)*IF(AR32=5,AQ32,1)</f>
        <v>48</v>
      </c>
      <c r="DD31" s="134">
        <f>IF(AT27=5,AS27,1)*IF(AT28=5,AS28,1)*IF(AT29=5,AS29,1)*IF(AT30=5,AS30,1)*IF(AT31=5,AS31,1)*IF(AT32=5,AS32,1)</f>
        <v>1</v>
      </c>
      <c r="DE31" s="134">
        <f>IF(AV27=5,AU27,1)*IF(AV28=5,AU28,1)*IF(AV29=5,AU29,1)*IF(AV30=5,AU30,1)*IF(AV31=5,AU31,1)*IF(AV32=5,AU32,1)</f>
        <v>1</v>
      </c>
      <c r="DF31" s="134">
        <f>IF(AX27=5,AW27,1)*IF(AX28=5,AW28,1)*IF(AX29=5,AW29,1)*IF(AX30=5,AW30,1)*IF(AX31=5,AW31,1)*IF(AX32=5,AW32,1)</f>
        <v>1</v>
      </c>
      <c r="DG31" s="134">
        <f>IF(AZ27=5,AY27,1)*IF(AZ28=5,AY28,1)*IF(AZ29=5,AY29,1)*IF(AZ30=5,AY30,1)*IF(AZ31=5,AY31,1)*IF(AZ32=5,AY32,1)</f>
        <v>8</v>
      </c>
      <c r="DH31" s="134">
        <f>IF(BB27=5,BA27,1)*IF(BB28=5,BA28,1)*IF(BB29=5,BA29,1)*IF(BB30=5,BA30,1)*IF(BB31=5,BA31,1)*IF(BB32=5,BA32,1)</f>
        <v>1</v>
      </c>
      <c r="DI31" s="134">
        <f>IF(BD27=5,BC27,1)*IF(BD28=5,BC28,1)*IF(BD29=5,BC29,1)*IF(BD30=5,BC30,1)*IF(BD31=5,BC31,1)*IF(BD32=5,BC32,1)</f>
        <v>6</v>
      </c>
      <c r="DJ31" s="134">
        <f>IF(BF27=5,BE27,1)*IF(BF28=5,BE28,1)*IF(BF29=5,BE29,1)*IF(BF30=5,BE30,1)*IF(BF31=5,BE31,1)*IF(BF32=5,BE32,1)</f>
        <v>2</v>
      </c>
      <c r="DK31" s="134">
        <f>IF(BH27=5,BG27,1)*IF(BH28=5,BG28,1)*IF(BH29=5,BG29,1)*IF(BH30=5,BG30,1)*IF(BH31=5,BG31,1)*IF(BH32=5,BG32,1)</f>
        <v>1</v>
      </c>
      <c r="DL31" s="134">
        <f>IF(BJ27=5,BI27,1)*IF(BJ28=5,BI28,1)*IF(BJ29=5,BI29,1)*IF(BJ30=5,BI30,1)*IF(BJ31=5,BI31,1)*IF(BJ32=5,BI32,1)</f>
        <v>1</v>
      </c>
      <c r="DM31" s="134">
        <f>IF(BL27=5,BK27,1)*IF(BL28=5,BK28,1)*IF(BL29=5,BK29,1)*IF(BL30=5,BK30,1)*IF(BL31=5,BK31,1)*IF(BL32=5,BK32,1)</f>
        <v>1</v>
      </c>
      <c r="DN31" s="134">
        <f>IF(BN27=5,BM27,1)*IF(BN28=5,BM28,1)*IF(BN29=5,BM29,1)*IF(BN30=5,BM30,1)*IF(BN31=5,BM31,1)*IF(BN32=5,BM32,1)</f>
        <v>1</v>
      </c>
      <c r="DO31" s="134">
        <f>IF(BP27=5,BO27,1)*IF(BP28=5,BO28,1)*IF(BP29=5,BO29,1)*IF(BP30=5,BO30,1)*IF(BP31=5,BO31,1)*IF(BP32=5,BO32,1)</f>
        <v>1</v>
      </c>
      <c r="DP31" s="134">
        <f>IF(BR27=5,BQ27,1)*IF(BR28=5,BQ28,1)*IF(BR29=5,BQ29,1)*IF(BR30=5,BQ30,1)*IF(BR31=5,BQ31,1)*IF(BR32=5,BQ32,1)</f>
        <v>1</v>
      </c>
      <c r="DQ31" s="144">
        <f t="shared" si="54"/>
        <v>4608</v>
      </c>
    </row>
    <row r="32" spans="2:122" x14ac:dyDescent="0.25">
      <c r="B32" s="134">
        <v>6</v>
      </c>
      <c r="C32" s="135" t="s">
        <v>261</v>
      </c>
      <c r="D32" s="134" t="str">
        <f>Contexto!C61</f>
        <v>1 La presencia de grupos étnicos es marginal</v>
      </c>
      <c r="E32" s="134">
        <v>3</v>
      </c>
      <c r="AM32" s="134" t="str">
        <f t="shared" si="21"/>
        <v>1</v>
      </c>
      <c r="AN32" s="134">
        <f t="shared" si="6"/>
        <v>3</v>
      </c>
      <c r="AP32" s="134">
        <f t="shared" si="7"/>
        <v>0</v>
      </c>
      <c r="AR32" s="134">
        <f t="shared" si="1"/>
        <v>0</v>
      </c>
      <c r="AT32" s="134">
        <f t="shared" si="1"/>
        <v>0</v>
      </c>
      <c r="AV32" s="134">
        <f t="shared" si="1"/>
        <v>0</v>
      </c>
      <c r="AX32" s="134">
        <f t="shared" si="1"/>
        <v>0</v>
      </c>
      <c r="AZ32" s="134">
        <f t="shared" si="2"/>
        <v>0</v>
      </c>
      <c r="BB32" s="134">
        <f t="shared" si="2"/>
        <v>0</v>
      </c>
      <c r="BD32" s="134">
        <f t="shared" si="2"/>
        <v>0</v>
      </c>
      <c r="BF32" s="134">
        <f t="shared" si="2"/>
        <v>0</v>
      </c>
      <c r="BH32" s="134">
        <f t="shared" si="3"/>
        <v>0</v>
      </c>
      <c r="BJ32" s="134">
        <f t="shared" si="3"/>
        <v>0</v>
      </c>
      <c r="BL32" s="134">
        <f t="shared" si="3"/>
        <v>0</v>
      </c>
      <c r="BN32" s="134">
        <f t="shared" si="3"/>
        <v>0</v>
      </c>
      <c r="BP32" s="134">
        <f t="shared" si="4"/>
        <v>0</v>
      </c>
      <c r="BR32" s="134">
        <f t="shared" si="4"/>
        <v>0</v>
      </c>
      <c r="BT32" s="134">
        <f t="shared" si="4"/>
        <v>0</v>
      </c>
      <c r="BV32" s="134">
        <f t="shared" si="14"/>
        <v>1</v>
      </c>
      <c r="CL32" s="142"/>
      <c r="CX32" s="144"/>
      <c r="CY32" s="144"/>
      <c r="CZ32" s="144"/>
      <c r="DA32" s="134">
        <f>IF(AN27=6,AM27,1)*IF(AN28=6,AM28,1)*IF(AN29=6,AM29,1)*IF(AN30=6,AM30,1)*IF(AN31=6,AM31,1)*IF(AN32=6,AM32,1)</f>
        <v>1</v>
      </c>
      <c r="DB32" s="134">
        <f>IF(AP27=6,AO27,1)*IF(AP28=6,AO28,1)*IF(AP29=6,AO29,1)*IF(AP30=6,AO30,1)*IF(AP31=6,AO31,1)*IF(AP32=6,AN32,1)</f>
        <v>2</v>
      </c>
      <c r="DC32" s="134">
        <f>IF(AR27=6,AQ27,1)*IF(AR28=6,AQ28,1)*IF(AR29=6,AQ29,1)*IF(AR30=6,AQ30,1)*IF(AR31=6,AQ31,1)*IF(AR32=6,AQ32,1)</f>
        <v>1</v>
      </c>
      <c r="DD32" s="134">
        <f>IF(AT27=6,AS27,1)*IF(AT28=6,AS28,1)*IF(AT29=6,AS29,1)*IF(AT30=6,AS30,1)*IF(AT31=6,AS31,1)*IF(AT32=6,AS32,1)</f>
        <v>1</v>
      </c>
      <c r="DE32" s="134">
        <f>IF(AV27=6,AU27,1)*IF(AV28=6,AU28,1)*IF(AV29=6,AU29,1)*IF(AV30=6,AU30,1)*IF(AV31=6,AU31,1)*IF(AV32=6,AU32,1)</f>
        <v>1</v>
      </c>
      <c r="DF32" s="134">
        <f>IF(AX27=6,AW27,1)*IF(AX28=6,AW28,1)*IF(AX29=6,AW29,1)*IF(AX30=6,AW30,1)*IF(AX31=6,AW31,1)*IF(AX32=6,AW32,1)</f>
        <v>1</v>
      </c>
      <c r="DG32" s="134">
        <f>IF(AZ27=6,AY27,1)*IF(AZ28=6,AY28,1)*IF(AZ29=6,AY29,1)*IF(AZ30=6,AY30,1)*IF(AZ31=6,AY31,1)*IF(AZ32=6,AY32,1)</f>
        <v>1</v>
      </c>
      <c r="DH32" s="134">
        <f>IF(BB27=5,BA27,1)*IF(BB28=5,BA28,1)*IF(BB29=5,BA29,1)*IF(BB30=5,BA30,1)*IF(BB31=5,BA31,1)*IF(BB32=6,BA32,1)</f>
        <v>1</v>
      </c>
      <c r="DI32" s="134">
        <f>IF(BD27=6,BC27,1)*IF(BD28=6,BC28,1)*IF(BD29=6,BC29,1)*IF(BD30=6,BC30,1)*IF(BD31=6,BC31,1)*IF(BD32=6,BC32,1)</f>
        <v>1</v>
      </c>
      <c r="DJ32" s="134">
        <f>IF(BF27=6,BE27,1)*IF(BF28=6,BE28,1)*IF(BF29=6,BE29,1)*IF(BF30=6,BE30,1)*IF(BF31=6,BE31,1)*IF(BF32=6,BE32,1)</f>
        <v>1</v>
      </c>
      <c r="DK32" s="134">
        <f>IF(BH27=6,BG27,1)*IF(BH28=6,BG28,1)*IF(BH29=6,BG29,1)*IF(BH30=6,BG30,1)*IF(BH31=6,BG31,1)*IF(BH32=6,BG32,1)</f>
        <v>1</v>
      </c>
      <c r="DL32" s="134">
        <f>IF(BJ27=6,BI27,1)*IF(BJ28=6,BI28,1)*IF(BJ29=6,BI29,1)*IF(BJ30=6,BI30,1)*IF(BJ31=6,BI31,1)*IF(BJ32=6,BI32,1)</f>
        <v>1</v>
      </c>
      <c r="DM32" s="134">
        <f>IF(BL27=5,BK27,1)*IF(BL28=5,BK28,1)*IF(BL29=5,BK29,1)*IF(BL30=5,BK30,1)*IF(BL31=5,BK31,1)*IF(BL32=6,BK32,1)</f>
        <v>1</v>
      </c>
      <c r="DN32" s="134">
        <f>IF(BN27=5,BM27,1)*IF(BN28=5,BM28,1)*IF(BN29=5,BM29,1)*IF(BN30=5,BM30,1)*IF(BN31=5,BM31,1)*IF(BN32=6,BM32,1)</f>
        <v>1</v>
      </c>
      <c r="DO32" s="134">
        <f>IF(BP27=6,BO27,1)*IF(BP28=6,BO28,1)*IF(BP29=6,BO29,1)*IF(BP30=6,BO30,1)*IF(BP31=6,BO31,1)*IF(BP32=6,BO32,1)</f>
        <v>1</v>
      </c>
      <c r="DP32" s="134">
        <f>IF(BR27=6,BQ27,1)*IF(BR28=6,BQ28,1)*IF(BR29=6,BQ29,1)*IF(BR30=6,BQ30,1)*IF(BR31=6,BQ31,1)*IF(BR32=6,BQ32,1)</f>
        <v>1</v>
      </c>
      <c r="DQ32" s="144">
        <f t="shared" si="54"/>
        <v>2</v>
      </c>
    </row>
    <row r="33" spans="2:122" s="144" customFormat="1" x14ac:dyDescent="0.25">
      <c r="C33" s="147"/>
      <c r="AN33" s="134">
        <f t="shared" si="6"/>
        <v>0</v>
      </c>
      <c r="AP33" s="134">
        <f t="shared" si="7"/>
        <v>0</v>
      </c>
      <c r="AR33" s="134">
        <f t="shared" si="1"/>
        <v>0</v>
      </c>
      <c r="AT33" s="134">
        <f t="shared" si="1"/>
        <v>0</v>
      </c>
      <c r="AV33" s="134">
        <f t="shared" si="1"/>
        <v>0</v>
      </c>
      <c r="AX33" s="134">
        <f t="shared" si="1"/>
        <v>0</v>
      </c>
      <c r="AZ33" s="134">
        <f t="shared" si="2"/>
        <v>0</v>
      </c>
      <c r="BB33" s="134">
        <f t="shared" si="2"/>
        <v>0</v>
      </c>
      <c r="BD33" s="134">
        <f t="shared" si="2"/>
        <v>0</v>
      </c>
      <c r="BF33" s="134">
        <f t="shared" si="2"/>
        <v>0</v>
      </c>
      <c r="BH33" s="134">
        <f t="shared" si="3"/>
        <v>0</v>
      </c>
      <c r="BJ33" s="134">
        <f t="shared" si="3"/>
        <v>0</v>
      </c>
      <c r="BL33" s="134">
        <f t="shared" si="3"/>
        <v>0</v>
      </c>
      <c r="BN33" s="134">
        <f t="shared" si="3"/>
        <v>0</v>
      </c>
      <c r="BP33" s="134">
        <f t="shared" si="4"/>
        <v>0</v>
      </c>
      <c r="BR33" s="134">
        <f t="shared" si="4"/>
        <v>0</v>
      </c>
      <c r="BT33" s="134">
        <f t="shared" si="4"/>
        <v>0</v>
      </c>
      <c r="BV33" s="144">
        <f>BV27*BV28*BV29*BV30*BV31*BV32</f>
        <v>64</v>
      </c>
      <c r="BW33" s="144">
        <f>BW27*BW28</f>
        <v>2</v>
      </c>
      <c r="BX33" s="144">
        <f>BX27*BX28*BX29*BX30</f>
        <v>48</v>
      </c>
      <c r="BY33" s="144">
        <f>BY27*BY28</f>
        <v>1</v>
      </c>
      <c r="BZ33" s="144">
        <f>BZ27*BZ28</f>
        <v>1</v>
      </c>
      <c r="CA33" s="144">
        <f>CA27*CA28*CA29*CA30*CA31</f>
        <v>1</v>
      </c>
      <c r="CB33" s="144">
        <f>CB27*CB28*CB29*CB30</f>
        <v>8</v>
      </c>
      <c r="CC33" s="144">
        <f>CC27</f>
        <v>2</v>
      </c>
      <c r="CD33" s="144">
        <f>CD27*CD28*CD29</f>
        <v>24</v>
      </c>
      <c r="CE33" s="144">
        <f>CE27*CE28*CE29</f>
        <v>2</v>
      </c>
      <c r="CL33" s="148">
        <f>PRODUCT(BV33:CK33)</f>
        <v>4718592</v>
      </c>
      <c r="CX33" s="144" t="str">
        <f>IF(CL33&lt;CO7,'cap.7 - analisis riesgos'!$B$15,IF('Eval Factores de Riesgo'!CL33&lt;'Eval Factores de Riesgo'!CP7,'cap.7 - analisis riesgos'!$B$16,IF('Eval Factores de Riesgo'!CL33&lt;'Eval Factores de Riesgo'!CQ7,'cap.7 - analisis riesgos'!$B$17,IF('Eval Factores de Riesgo'!CL33&lt;'Eval Factores de Riesgo'!CS7,'cap.7 - analisis riesgos'!$B$18,'cap.7 - analisis riesgos'!$B$19))))</f>
        <v>Posible</v>
      </c>
      <c r="CY33" s="144">
        <f>IF(CL33&lt;CP7,'cap.7 - analisis riesgos'!$G$15,IF('Eval Factores de Riesgo'!CL33&lt;'Eval Factores de Riesgo'!CQ7,'cap.7 - analisis riesgos'!$G$16,IF('Eval Factores de Riesgo'!CL33&lt;'Eval Factores de Riesgo'!CS7,'cap.7 - analisis riesgos'!$G$17,IF('Eval Factores de Riesgo'!CL33&lt;'Eval Factores de Riesgo'!CT7,'cap.7 - analisis riesgos'!$G$18,'cap.7 - analisis riesgos'!$G$19))))</f>
        <v>2</v>
      </c>
      <c r="CZ33" s="144">
        <f>MAX(DA33:DP33)</f>
        <v>64</v>
      </c>
      <c r="DA33" s="144">
        <f>PRODUCT(DA27:DA32)</f>
        <v>64</v>
      </c>
      <c r="DB33" s="144">
        <f t="shared" ref="DB33:DP33" si="57">PRODUCT(DB27:DB32)</f>
        <v>2</v>
      </c>
      <c r="DC33" s="144">
        <f t="shared" si="57"/>
        <v>48</v>
      </c>
      <c r="DD33" s="144">
        <f t="shared" si="57"/>
        <v>1</v>
      </c>
      <c r="DE33" s="144">
        <f t="shared" si="57"/>
        <v>1</v>
      </c>
      <c r="DF33" s="144">
        <f t="shared" si="57"/>
        <v>1</v>
      </c>
      <c r="DG33" s="144">
        <f t="shared" si="57"/>
        <v>8</v>
      </c>
      <c r="DH33" s="144">
        <f t="shared" si="57"/>
        <v>2</v>
      </c>
      <c r="DI33" s="144">
        <f t="shared" si="57"/>
        <v>24</v>
      </c>
      <c r="DJ33" s="144">
        <f t="shared" si="57"/>
        <v>2</v>
      </c>
      <c r="DK33" s="144">
        <f t="shared" si="57"/>
        <v>1</v>
      </c>
      <c r="DL33" s="144">
        <f t="shared" si="57"/>
        <v>1</v>
      </c>
      <c r="DM33" s="144">
        <f t="shared" si="57"/>
        <v>1</v>
      </c>
      <c r="DN33" s="144">
        <f t="shared" si="57"/>
        <v>1</v>
      </c>
      <c r="DO33" s="144">
        <f t="shared" si="57"/>
        <v>1</v>
      </c>
      <c r="DP33" s="144">
        <f t="shared" si="57"/>
        <v>1</v>
      </c>
    </row>
    <row r="34" spans="2:122" s="144" customFormat="1" x14ac:dyDescent="0.25">
      <c r="C34" s="147"/>
      <c r="AN34" s="134"/>
      <c r="AP34" s="134"/>
      <c r="AR34" s="134"/>
      <c r="AT34" s="134"/>
      <c r="AV34" s="134"/>
      <c r="AX34" s="134"/>
      <c r="AZ34" s="134"/>
      <c r="BB34" s="134"/>
      <c r="BD34" s="134"/>
      <c r="BF34" s="134"/>
      <c r="BH34" s="134"/>
      <c r="BJ34" s="134"/>
      <c r="BL34" s="134"/>
      <c r="BN34" s="134"/>
      <c r="BP34" s="134"/>
      <c r="BR34" s="134"/>
      <c r="BT34" s="134"/>
      <c r="CL34" s="150"/>
      <c r="DA34" s="144">
        <f>$CZ$33-DA33</f>
        <v>0</v>
      </c>
      <c r="DB34" s="144">
        <f t="shared" ref="DB34:DP34" si="58">$CZ$33-DB33</f>
        <v>62</v>
      </c>
      <c r="DC34" s="144">
        <f t="shared" si="58"/>
        <v>16</v>
      </c>
      <c r="DD34" s="144">
        <f t="shared" si="58"/>
        <v>63</v>
      </c>
      <c r="DE34" s="144">
        <f t="shared" si="58"/>
        <v>63</v>
      </c>
      <c r="DF34" s="144">
        <f t="shared" si="58"/>
        <v>63</v>
      </c>
      <c r="DG34" s="144">
        <f t="shared" si="58"/>
        <v>56</v>
      </c>
      <c r="DH34" s="144">
        <f t="shared" si="58"/>
        <v>62</v>
      </c>
      <c r="DI34" s="144">
        <f t="shared" si="58"/>
        <v>40</v>
      </c>
      <c r="DJ34" s="144">
        <f t="shared" si="58"/>
        <v>62</v>
      </c>
      <c r="DK34" s="144">
        <f t="shared" si="58"/>
        <v>63</v>
      </c>
      <c r="DL34" s="144">
        <f t="shared" si="58"/>
        <v>63</v>
      </c>
      <c r="DM34" s="144">
        <f t="shared" si="58"/>
        <v>63</v>
      </c>
      <c r="DN34" s="144">
        <f t="shared" si="58"/>
        <v>63</v>
      </c>
      <c r="DO34" s="144">
        <f t="shared" si="58"/>
        <v>63</v>
      </c>
      <c r="DP34" s="144">
        <f t="shared" si="58"/>
        <v>63</v>
      </c>
      <c r="DR34" s="144">
        <f>IF(DA34=0,DA26,IF(DB34=0,DB26,IF(DC34=0,DC26,IF(DD34=0,DD26,IF(DE34=0,DE26,IF(DF34=0,DF26,IF(DG34=0,DG26,IF(DH34=0,DH26,IF(DI34=0,DI26,IF(DJ34=0,DJ26,IF(DK34=0,DK26,IF(DL34=0,DL26,IF(DM34=0,DM26,IF(DN34=0,DN26,IF(DO34=0,DO26,DP26)))))))))))))))</f>
        <v>5</v>
      </c>
    </row>
    <row r="35" spans="2:122" x14ac:dyDescent="0.25">
      <c r="C35" s="141" t="s">
        <v>26</v>
      </c>
      <c r="D35" s="136" t="s">
        <v>599</v>
      </c>
      <c r="F35" s="136" t="s">
        <v>599</v>
      </c>
      <c r="H35" s="152" t="s">
        <v>598</v>
      </c>
      <c r="J35" s="151" t="s">
        <v>593</v>
      </c>
      <c r="L35" s="151" t="s">
        <v>581</v>
      </c>
      <c r="N35" s="137" t="s">
        <v>579</v>
      </c>
      <c r="P35" s="137" t="s">
        <v>580</v>
      </c>
      <c r="R35" s="137" t="s">
        <v>580</v>
      </c>
      <c r="T35" s="137" t="s">
        <v>580</v>
      </c>
      <c r="V35" s="137" t="s">
        <v>583</v>
      </c>
      <c r="X35" s="137" t="s">
        <v>586</v>
      </c>
      <c r="Z35" s="137" t="s">
        <v>587</v>
      </c>
      <c r="AN35" s="134">
        <f t="shared" si="6"/>
        <v>0</v>
      </c>
      <c r="AP35" s="134">
        <f t="shared" si="7"/>
        <v>0</v>
      </c>
      <c r="AR35" s="134">
        <f t="shared" si="1"/>
        <v>0</v>
      </c>
      <c r="AT35" s="134">
        <f t="shared" si="1"/>
        <v>0</v>
      </c>
      <c r="AV35" s="134">
        <f t="shared" si="1"/>
        <v>0</v>
      </c>
      <c r="AX35" s="134">
        <f t="shared" si="1"/>
        <v>0</v>
      </c>
      <c r="AZ35" s="134">
        <f t="shared" si="2"/>
        <v>0</v>
      </c>
      <c r="BB35" s="134">
        <f t="shared" si="2"/>
        <v>0</v>
      </c>
      <c r="BD35" s="134">
        <f t="shared" si="2"/>
        <v>0</v>
      </c>
      <c r="BF35" s="134">
        <f t="shared" si="2"/>
        <v>0</v>
      </c>
      <c r="BH35" s="134">
        <f t="shared" si="3"/>
        <v>0</v>
      </c>
      <c r="BJ35" s="134">
        <f t="shared" si="3"/>
        <v>0</v>
      </c>
      <c r="BL35" s="134">
        <f t="shared" si="3"/>
        <v>0</v>
      </c>
      <c r="BN35" s="134">
        <f t="shared" si="3"/>
        <v>0</v>
      </c>
      <c r="BP35" s="134">
        <f t="shared" si="4"/>
        <v>0</v>
      </c>
      <c r="BR35" s="134">
        <f t="shared" si="4"/>
        <v>0</v>
      </c>
      <c r="BT35" s="134">
        <f t="shared" si="4"/>
        <v>0</v>
      </c>
      <c r="CL35" s="138" t="s">
        <v>320</v>
      </c>
      <c r="CX35" s="144"/>
      <c r="CY35" s="144"/>
      <c r="CZ35" s="144"/>
      <c r="DA35" s="143">
        <f>IFERROR(VALUE(MID(D35,1,2)),"")</f>
        <v>4</v>
      </c>
      <c r="DB35" s="143">
        <f>IFERROR(VALUE(MID(F35,1,2)),"")</f>
        <v>4</v>
      </c>
      <c r="DC35" s="143">
        <f>IFERROR(VALUE(MID(H35,1,2)),"")</f>
        <v>8</v>
      </c>
      <c r="DD35" s="143">
        <f>IFERROR(VALUE(MID(J35,1,2)),"")</f>
        <v>9</v>
      </c>
      <c r="DE35" s="143">
        <f>IFERROR(VALUE(MID(L35,1,2)),"")</f>
        <v>10</v>
      </c>
      <c r="DF35" s="143">
        <f>IFERROR(VALUE(MID(N35,1,2)),"")</f>
        <v>11</v>
      </c>
      <c r="DG35" s="143">
        <f>IFERROR(VALUE(MID(P35,1,2)),"")</f>
        <v>12</v>
      </c>
      <c r="DH35" s="143">
        <f>IFERROR(VALUE(MID(R35,1,2)),"")</f>
        <v>12</v>
      </c>
      <c r="DI35" s="143">
        <f>IFERROR(VALUE(MID(T35,1,2)),"")</f>
        <v>12</v>
      </c>
      <c r="DJ35" s="143">
        <f>IFERROR(VALUE(MID(V35,1,2)),"")</f>
        <v>14</v>
      </c>
      <c r="DK35" s="143">
        <f>IFERROR(VALUE(MID(X35,1,2)),"")</f>
        <v>15</v>
      </c>
      <c r="DL35" s="143">
        <f>IFERROR(VALUE(MID(Z35,1,2)),"")</f>
        <v>16</v>
      </c>
      <c r="DM35" s="143" t="str">
        <f>IFERROR(VALUE(MID(AB35,1,2)),"")</f>
        <v/>
      </c>
      <c r="DN35" s="143" t="str">
        <f>IFERROR(VALUE(MID(AD35,1,2)),"")</f>
        <v/>
      </c>
      <c r="DO35" s="143" t="str">
        <f>IFERROR(VALUE(MID(AF35,1,2)),"")</f>
        <v/>
      </c>
      <c r="DP35" s="143" t="str">
        <f>IFERROR(VALUE(MID(AH35,1,2)),"")</f>
        <v/>
      </c>
      <c r="DQ35" s="144"/>
    </row>
    <row r="36" spans="2:122" x14ac:dyDescent="0.25">
      <c r="B36" s="134">
        <v>1</v>
      </c>
      <c r="C36" s="135" t="s">
        <v>263</v>
      </c>
      <c r="D36" s="134" t="str">
        <f>Contexto!C38</f>
        <v>1 Nada Relevante</v>
      </c>
      <c r="E36" s="134">
        <v>4</v>
      </c>
      <c r="F36" s="134" t="str">
        <f>Contexto!C40</f>
        <v>3 La TRM ha variado entre el 5% y el 15% en los últimos 6 meses.</v>
      </c>
      <c r="G36" s="134">
        <v>1</v>
      </c>
      <c r="H36" s="134" t="str">
        <f>'Descripcion Actividades'!C40</f>
        <v>4 Las actividades de transporte son inherentes al cumplimiento del objeto contractual.</v>
      </c>
      <c r="I36" s="134">
        <v>6</v>
      </c>
      <c r="J36" s="145" t="str">
        <f>'Descripcion Actividades'!C51</f>
        <v>1 El contrato no contempla actividades de manipulación y/o suministro de alimentos.</v>
      </c>
      <c r="K36" s="145">
        <v>6</v>
      </c>
      <c r="L36" s="146" t="str">
        <f>'Descripcion Actividades'!C55</f>
        <v>1 El contrato no contempla actividades de manipulación y/o suministro de medicamentos.</v>
      </c>
      <c r="M36" s="146">
        <v>6</v>
      </c>
      <c r="N36" s="134" t="str">
        <f>'Descripcion Actividades'!C63</f>
        <v>1 Todos los materiales e insumos requeridos son de amplia disponibilidad y accesibilidad.</v>
      </c>
      <c r="O36" s="134">
        <v>6</v>
      </c>
      <c r="P36" s="145" t="str">
        <f>'Descripcion Actividades'!C81</f>
        <v>1 El suministro de agua no es relevante para la ejecución del contrato.</v>
      </c>
      <c r="Q36" s="145">
        <v>6</v>
      </c>
      <c r="R36" s="145" t="str">
        <f>'Descripcion Actividades'!C93</f>
        <v>4 Se requiere el almacenamiento de un alto volumen de datos, es relevante para la ejecución del contrato y se realiza con un tercero.</v>
      </c>
      <c r="S36" s="145">
        <v>6</v>
      </c>
      <c r="T36" s="145" t="str">
        <f>'Descripcion Actividades'!C105</f>
        <v>1 No se requieren disposición de residuos o escombros.</v>
      </c>
      <c r="U36" s="145">
        <v>6</v>
      </c>
      <c r="V36" s="134" t="str">
        <f>'Descripcion Actividades'!C118</f>
        <v>2 Las máquinas, equipos y vehículos son de uso común y su disponibilidad es amplia.</v>
      </c>
      <c r="W36" s="134">
        <v>6</v>
      </c>
      <c r="X36" s="134" t="str">
        <f>'Descripcion Actividades'!C123</f>
        <v>4 El contrato contempla una cantidad apreciable de actividades de campo especializadas y/o complejas.</v>
      </c>
      <c r="Y36" s="134">
        <v>6</v>
      </c>
      <c r="Z36" s="134" t="str">
        <f>'Descripcion Actividades'!C131</f>
        <v>1 El contrato no contempla actividades de obra civil.</v>
      </c>
      <c r="AA36" s="134">
        <v>6</v>
      </c>
      <c r="AM36" s="134" t="str">
        <f t="shared" si="21"/>
        <v>1</v>
      </c>
      <c r="AN36" s="134">
        <f t="shared" si="6"/>
        <v>4</v>
      </c>
      <c r="AO36" s="134" t="str">
        <f t="shared" si="22"/>
        <v>3</v>
      </c>
      <c r="AP36" s="134">
        <f t="shared" si="7"/>
        <v>1</v>
      </c>
      <c r="AQ36" s="134" t="str">
        <f>MID(H36,1,1)</f>
        <v>4</v>
      </c>
      <c r="AR36" s="134">
        <f t="shared" si="1"/>
        <v>6</v>
      </c>
      <c r="AS36" s="145" t="str">
        <f>MID(J36,1,1)</f>
        <v>1</v>
      </c>
      <c r="AT36" s="134">
        <f t="shared" si="1"/>
        <v>6</v>
      </c>
      <c r="AU36" s="146" t="str">
        <f>MID(L36,1,1)</f>
        <v>1</v>
      </c>
      <c r="AV36" s="134">
        <f t="shared" si="1"/>
        <v>6</v>
      </c>
      <c r="AW36" s="134" t="str">
        <f t="shared" ref="AW36:AW41" si="59">MID(N36,1,1)</f>
        <v>1</v>
      </c>
      <c r="AX36" s="134">
        <f t="shared" si="1"/>
        <v>6</v>
      </c>
      <c r="AY36" s="134" t="str">
        <f t="shared" ref="AY36:AY41" si="60">MID(P36,1,1)</f>
        <v>1</v>
      </c>
      <c r="AZ36" s="134">
        <f t="shared" si="2"/>
        <v>6</v>
      </c>
      <c r="BA36" s="134" t="str">
        <f>MID(R36,1,1)</f>
        <v>4</v>
      </c>
      <c r="BB36" s="134">
        <f t="shared" si="2"/>
        <v>6</v>
      </c>
      <c r="BC36" s="134" t="str">
        <f>MID(T36,1,1)</f>
        <v>1</v>
      </c>
      <c r="BD36" s="134">
        <f t="shared" si="2"/>
        <v>6</v>
      </c>
      <c r="BE36" s="134" t="str">
        <f>MID(V36,1,1)</f>
        <v>2</v>
      </c>
      <c r="BF36" s="134">
        <f t="shared" si="2"/>
        <v>6</v>
      </c>
      <c r="BG36" s="134" t="str">
        <f>MID(X36,1,1)</f>
        <v>4</v>
      </c>
      <c r="BH36" s="134">
        <f t="shared" si="3"/>
        <v>6</v>
      </c>
      <c r="BI36" s="134" t="str">
        <f t="shared" ref="BI36" si="61">MID(Z36,1,1)</f>
        <v>1</v>
      </c>
      <c r="BJ36" s="134">
        <f t="shared" si="3"/>
        <v>6</v>
      </c>
      <c r="BL36" s="134">
        <f t="shared" si="3"/>
        <v>0</v>
      </c>
      <c r="BN36" s="134">
        <f t="shared" si="3"/>
        <v>0</v>
      </c>
      <c r="BP36" s="134">
        <f t="shared" si="4"/>
        <v>0</v>
      </c>
      <c r="BR36" s="134">
        <f t="shared" si="4"/>
        <v>0</v>
      </c>
      <c r="BT36" s="134">
        <f t="shared" si="4"/>
        <v>0</v>
      </c>
      <c r="BV36" s="134">
        <f t="shared" si="14"/>
        <v>1</v>
      </c>
      <c r="BW36" s="134">
        <f>VALUE(AO36)</f>
        <v>3</v>
      </c>
      <c r="BX36" s="134">
        <f>VALUE(AQ36)</f>
        <v>4</v>
      </c>
      <c r="BY36" s="145">
        <f>VALUE(AS36)</f>
        <v>1</v>
      </c>
      <c r="BZ36" s="146">
        <f t="shared" si="53"/>
        <v>1</v>
      </c>
      <c r="CA36" s="134">
        <f t="shared" ref="CA36:CA41" si="62">VALUE(AW36)</f>
        <v>1</v>
      </c>
      <c r="CB36" s="134">
        <f t="shared" ref="CB36:CB41" si="63">VALUE(AY36)</f>
        <v>1</v>
      </c>
      <c r="CC36" s="134">
        <f>VALUE(BA36)</f>
        <v>4</v>
      </c>
      <c r="CD36" s="134">
        <f>VALUE(BC36)</f>
        <v>1</v>
      </c>
      <c r="CE36" s="134">
        <f>VALUE(BE36)</f>
        <v>2</v>
      </c>
      <c r="CF36" s="134">
        <f>VALUE(BG36)</f>
        <v>4</v>
      </c>
      <c r="CG36" s="134">
        <f t="shared" ref="CG36" si="64">VALUE(BI36)</f>
        <v>1</v>
      </c>
      <c r="CL36" s="142"/>
      <c r="CX36" s="144"/>
      <c r="CY36" s="144"/>
      <c r="CZ36" s="144"/>
      <c r="DA36" s="134">
        <f>IF(AN36=1,AM36,1)*IF(AN37=1,AM37,1)*IF(AN38=1,AM38,1)*IF(AN39=1,AM39,1)*IF(AN40=1,AM40,1)*IF(AN41=1,AM41,1)</f>
        <v>1</v>
      </c>
      <c r="DB36" s="134">
        <f>IF(AP36=1,AO36,1)*IF(AP37=1,AO37,1)*IF(AP38=1,AO38,1)*IF(AP39=1,AO39,1)*IF(AP40=1,AO40,1)*IF(AP41=1,AN41,1)</f>
        <v>3</v>
      </c>
      <c r="DC36" s="134">
        <f>IF(AR36=1,AQ36,1)*IF(AR37=1,AQ37,1)*IF(AR38=1,AQ38,1)*IF(AR39=1,AQ39,1)*IF(AR40=1,AQ40,1)*IF(AR41=1,AQ41,1)</f>
        <v>1</v>
      </c>
      <c r="DD36" s="134">
        <f>IF(AT36=1,AS36,1)*IF(AT37=1,AS37,1)*IF(AT38=1,AS38,1)*IF(AT39=1,AS39,1)*IF(AT40=1,AS40,1)*IF(AT41=1,AS41,1)</f>
        <v>1</v>
      </c>
      <c r="DE36" s="134">
        <f>IF(AV36=1,AU36,1)*IF(AV37=1,AU37,1)*IF(AV38=1,AU38,1)*IF(AV39=1,AU39,1)*IF(AV40=1,AU40,1)*IF(AV41=1,AU41,1)</f>
        <v>1</v>
      </c>
      <c r="DF36" s="134">
        <f>IF(AX36=1,AW36,1)*IF(AX37=1,AW37,1)*IF(AX38=1,AW38,1)*IF(AX39=1,AW39,1)*IF(AX40=1,AW40,1)*IF(AX41=1,AW41,1)</f>
        <v>1</v>
      </c>
      <c r="DG36" s="134">
        <f>IF(AZ36=1,AY36,1)*IF(AZ37=1,AY37,1)*IF(AZ38=1,AY38,1)*IF(AZ39=1,AY39,1)*IF(AZ40=1,AY40,1)*IF(AZ41=1,AY41,1)</f>
        <v>1</v>
      </c>
      <c r="DH36" s="134">
        <f>IF(BB36=1,BA36,1)*IF(BB37=1,BA37,1)*IF(BB38=1,BA38,1)*IF(BB39=1,BA39,1)*IF(BB40=1,BA40,1)*IF(BB41=1,BA41,1)</f>
        <v>1</v>
      </c>
      <c r="DI36" s="134">
        <f>IF(BD36=1,BC36,1)*IF(BD37=1,BC37,1)*IF(BD38=1,BC38,1)*IF(BD39=1,BC39,1)*IF(BD40=1,BC40,1)*IF(BD41=1,BC41,1)</f>
        <v>1</v>
      </c>
      <c r="DJ36" s="134">
        <f>IF(BF36=1,BE36,1)*IF(BF37=1,BE37,1)*IF(BF38=1,BE38,1)*IF(BF39=1,BE39,1)*IF(BF40=1,BE40,1)*IF(BF41=1,BE41,1)</f>
        <v>1</v>
      </c>
      <c r="DK36" s="134">
        <f>IF(BH36=1,BG36,1)*IF(BH37=1,BG37,1)*IF(BH38=1,BG38,1)*IF(BH39=1,BG39,1)*IF(BH40=1,BG40,1)*IF(BH41=1,BG41,1)</f>
        <v>1</v>
      </c>
      <c r="DL36" s="134">
        <f>IF(BJ36=1,BI36,1)*IF(BJ37=1,BI37,1)*IF(BJ38=1,BI38,1)*IF(BJ39=1,BI39,1)*IF(BJ40=1,BI40,1)*IF(BJ41=1,BI41,1)</f>
        <v>1</v>
      </c>
      <c r="DM36" s="134">
        <f>IF(BL36=1,BK36,1)*IF(BL37=1,BK37,1)*IF(BL38=1,BK38,1)*IF(BL39=1,BK39,1)*IF(BL40=1,BK40,1)*IF(BL41=1,BK41,1)</f>
        <v>1</v>
      </c>
      <c r="DN36" s="134">
        <f>IF(BN36=1,BM36,1)*IF(BN37=1,BM37,1)*IF(BN38=1,BM38,1)*IF(BN39=1,BM39,1)*IF(BN40=1,BM40,1)*IF(BN41=1,BM41,1)</f>
        <v>1</v>
      </c>
      <c r="DO36" s="134">
        <f>IF(BP36=1,BO36,1)*IF(BP37=1,BO37,1)*IF(BP38=1,BO38,1)*IF(BP39=1,BO39,1)*IF(BP40=1,BO40,1)*IF(BP41=1,BO41,1)</f>
        <v>1</v>
      </c>
      <c r="DP36" s="134">
        <f>IF(BR36=1,BQ36,1)*IF(BR37=1,BQ37,1)*IF(BR38=1,BQ38,1)*IF(BR39=1,BQ39,1)*IF(BR40=1,BQ40,1)*IF(BR41=1,BQ41,1)</f>
        <v>1</v>
      </c>
      <c r="DQ36" s="144">
        <f t="shared" ref="DQ36:DQ41" si="65">PRODUCT(DA36:DP36)</f>
        <v>3</v>
      </c>
      <c r="DR36" s="134">
        <f>IF((DQ36-MAX(DQ36:DQ41))=0,B36,IF((DQ37-MAX(DQ36:DQ41))=0,B37,IF((DQ38-MAX(DQ36:DQ41))=0,B38,IF((DQ39-MAX(DQ36:DQ41))=0,B39,IF((DQ40-MAX(DQ36:DQ41))=0,B40,B41)))))</f>
        <v>6</v>
      </c>
    </row>
    <row r="37" spans="2:122" x14ac:dyDescent="0.25">
      <c r="B37" s="134">
        <v>2</v>
      </c>
      <c r="C37" s="135" t="s">
        <v>264</v>
      </c>
      <c r="F37" s="134" t="str">
        <f>Contexto!C42</f>
        <v>1 La Tasa de Intervención del Banco de la República ha estado por debajo del 3% en los últimos 6 meses.</v>
      </c>
      <c r="G37" s="134">
        <v>2</v>
      </c>
      <c r="H37" s="134" t="str">
        <f>'Descripcion Actividades'!C42</f>
        <v>3 Las actividades de transporte son frecuentes y periódicas</v>
      </c>
      <c r="I37" s="134">
        <v>6</v>
      </c>
      <c r="J37" s="134" t="str">
        <f>'Descripcion Actividades'!C53</f>
        <v>1 Nada Relevante</v>
      </c>
      <c r="K37" s="134">
        <v>6</v>
      </c>
      <c r="L37" s="146" t="str">
        <f>'Descripcion Actividades'!C53</f>
        <v>1 Nada Relevante</v>
      </c>
      <c r="M37" s="146">
        <v>6</v>
      </c>
      <c r="N37" s="134" t="str">
        <f>'Descripcion Actividades'!C65</f>
        <v>1 Hay múltiples fuentes para la consecusión de los materiales e insumos.</v>
      </c>
      <c r="O37" s="134">
        <v>6</v>
      </c>
      <c r="P37" s="134" t="str">
        <f>'Descripcion Actividades'!C83</f>
        <v>2 Se cuenta con red de suministro de energía eléctrica y está disponible todo el tiempo.</v>
      </c>
      <c r="Q37" s="134">
        <v>6</v>
      </c>
      <c r="R37" s="134" t="str">
        <f>'Descripcion Actividades'!C95</f>
        <v>1 No se requiere servicio de sonido en el contrato</v>
      </c>
      <c r="S37" s="134">
        <v>6</v>
      </c>
      <c r="X37" s="134" t="str">
        <f>'Descripcion Actividades'!C125</f>
        <v>2 El lugar para la ejecución del contrato es de fácil acceso y pero los tiempos para acceder pueden variar.</v>
      </c>
      <c r="Y37" s="134">
        <v>6</v>
      </c>
      <c r="Z37" s="134" t="str">
        <f>'Descripcion Actividades'!C133</f>
        <v>1 Se contempla un único frente de obra.</v>
      </c>
      <c r="AA37" s="134">
        <v>6</v>
      </c>
      <c r="AN37" s="134">
        <f t="shared" si="6"/>
        <v>0</v>
      </c>
      <c r="AO37" s="134" t="str">
        <f t="shared" si="22"/>
        <v>1</v>
      </c>
      <c r="AP37" s="134">
        <f t="shared" si="7"/>
        <v>2</v>
      </c>
      <c r="AQ37" s="134" t="str">
        <f>MID(H37,1,1)</f>
        <v>3</v>
      </c>
      <c r="AR37" s="134">
        <f t="shared" si="1"/>
        <v>6</v>
      </c>
      <c r="AS37" s="145" t="str">
        <f>MID(J37,1,1)</f>
        <v>1</v>
      </c>
      <c r="AT37" s="134">
        <f t="shared" si="1"/>
        <v>6</v>
      </c>
      <c r="AU37" s="146" t="str">
        <f>MID(L37,1,1)</f>
        <v>1</v>
      </c>
      <c r="AV37" s="134">
        <f t="shared" si="1"/>
        <v>6</v>
      </c>
      <c r="AW37" s="134" t="str">
        <f t="shared" si="59"/>
        <v>1</v>
      </c>
      <c r="AX37" s="134">
        <f t="shared" si="1"/>
        <v>6</v>
      </c>
      <c r="AY37" s="134" t="str">
        <f t="shared" si="60"/>
        <v>2</v>
      </c>
      <c r="AZ37" s="134">
        <f t="shared" si="2"/>
        <v>6</v>
      </c>
      <c r="BA37" s="134" t="str">
        <f t="shared" ref="BA37:BA41" si="66">MID(R37,1,1)</f>
        <v>1</v>
      </c>
      <c r="BB37" s="134">
        <f t="shared" si="2"/>
        <v>6</v>
      </c>
      <c r="BD37" s="134">
        <f t="shared" si="2"/>
        <v>0</v>
      </c>
      <c r="BF37" s="134">
        <f t="shared" si="2"/>
        <v>0</v>
      </c>
      <c r="BG37" s="134" t="str">
        <f>MID(X37,1,1)</f>
        <v>2</v>
      </c>
      <c r="BH37" s="134">
        <f t="shared" si="3"/>
        <v>6</v>
      </c>
      <c r="BI37" s="134" t="str">
        <f>MID(Z37,1,1)</f>
        <v>1</v>
      </c>
      <c r="BJ37" s="134">
        <f t="shared" si="3"/>
        <v>6</v>
      </c>
      <c r="BL37" s="134">
        <f t="shared" si="3"/>
        <v>0</v>
      </c>
      <c r="BN37" s="134">
        <f t="shared" si="3"/>
        <v>0</v>
      </c>
      <c r="BP37" s="134">
        <f t="shared" si="4"/>
        <v>0</v>
      </c>
      <c r="BR37" s="134">
        <f t="shared" si="4"/>
        <v>0</v>
      </c>
      <c r="BT37" s="134">
        <f t="shared" si="4"/>
        <v>0</v>
      </c>
      <c r="BW37" s="134">
        <f>VALUE(AO37)</f>
        <v>1</v>
      </c>
      <c r="BX37" s="134">
        <f>VALUE(AQ37)</f>
        <v>3</v>
      </c>
      <c r="BY37" s="145">
        <f>VALUE(AS37)</f>
        <v>1</v>
      </c>
      <c r="BZ37" s="146">
        <f t="shared" si="53"/>
        <v>1</v>
      </c>
      <c r="CA37" s="134">
        <f t="shared" si="62"/>
        <v>1</v>
      </c>
      <c r="CB37" s="134">
        <f t="shared" si="63"/>
        <v>2</v>
      </c>
      <c r="CC37" s="134">
        <f t="shared" ref="CC37:CC41" si="67">VALUE(BA37)</f>
        <v>1</v>
      </c>
      <c r="CF37" s="134">
        <f>VALUE(BG37)</f>
        <v>2</v>
      </c>
      <c r="CG37" s="134">
        <f>VALUE(BI37)</f>
        <v>1</v>
      </c>
      <c r="CL37" s="142"/>
      <c r="CX37" s="144"/>
      <c r="CY37" s="144"/>
      <c r="CZ37" s="144"/>
      <c r="DA37" s="134">
        <f>IF(AN36=2,AM36,1)*IF(AN37=2,AM37,1)*IF(AN38=2,AM38,1)*IF(AN39=2,AM39,1)*IF(AN40=2,AM40,1)*IF(AN41=2,AM41,1)</f>
        <v>1</v>
      </c>
      <c r="DB37" s="134">
        <f>IF(AP36=2,AO36,1)*IF(AP37=2,AO37,1)*IF(AP38=2,AO38,1)*IF(AP39=2,AO39,1)*IF(AP40=2,AO40,1)*IF(AP41=2,AN41,1)</f>
        <v>1</v>
      </c>
      <c r="DC37" s="134">
        <f>IF(AR36=2,AQ36,1)*IF(AR37=2,AQ37,1)*IF(AR38=2,AQ38,1)*IF(AR39=2,AQ39,1)*IF(AR40=2,AQ40,1)*IF(AR41=2,AQ41,1)</f>
        <v>1</v>
      </c>
      <c r="DD37" s="134">
        <f>IF(AT36=2,AS36,1)*IF(AT37=2,AS37,1)*IF(AT38=2,AS38,1)*IF(AT39=2,AS39,1)*IF(AT40=2,AS40,1)*IF(AT41=2,AS41,1)</f>
        <v>1</v>
      </c>
      <c r="DE37" s="134">
        <f>IF(AV36=2,AU36,1)*IF(AV37=2,AU37,1)*IF(AV38=2,AU38,1)*IF(AV39=2,AU39,1)*IF(AV40=2,AU40,1)*IF(AV41=2,AU41,1)</f>
        <v>1</v>
      </c>
      <c r="DF37" s="134">
        <f>IF(AX36=2,AW36,1)*IF(AX37=2,AW37,1)*IF(AX38=2,AW38,1)*IF(AX39=2,AW39,1)*IF(AX40=2,AW40,1)*IF(AX41=2,AW41,1)</f>
        <v>1</v>
      </c>
      <c r="DG37" s="134">
        <f>IF(AZ36=2,AY36,1)*IF(AZ37=2,AY37,1)*IF(AZ38=2,AY38,1)*IF(AZ39=2,AY39,1)*IF(AZ40=2,AY40,1)*IF(AZ41=2,AY41,1)</f>
        <v>1</v>
      </c>
      <c r="DH37" s="134">
        <f>IF(BB36=2,BA36,1)*IF(BB37=2,BA37,1)*IF(BB38=2,BA38,1)*IF(BB39=2,BA39,1)*IF(BB40=2,BA40,1)*IF(BB41=2,BA41,1)</f>
        <v>1</v>
      </c>
      <c r="DI37" s="134">
        <f>IF(BD36=2,BC36,1)*IF(BD37=2,BC37,1)*IF(BD38=2,BC38,1)*IF(BD39=2,BC39,1)*IF(BD40=2,BC40,1)*IF(BD41=2,BC41,1)</f>
        <v>1</v>
      </c>
      <c r="DJ37" s="134">
        <f>IF(BF36=2,BE36,1)*IF(BF37=2,BE37,1)*IF(BF38=2,BE38,1)*IF(BF39=2,BE39,1)*IF(BF40=2,BE40,1)*IF(BF41=2,BE41,1)</f>
        <v>1</v>
      </c>
      <c r="DK37" s="134">
        <f>IF(BH36=2,BG36,1)*IF(BH37=2,BG37,1)*IF(BH38=2,BG38,1)*IF(BH39=2,BG39,1)*IF(BH40=2,BG40,1)*IF(BH41=2,BG41,1)</f>
        <v>1</v>
      </c>
      <c r="DL37" s="134">
        <f>IF(BJ36=2,BI36,1)*IF(BJ37=2,BI37,1)*IF(BJ38=2,BI38,1)*IF(BJ39=2,BI39,1)*IF(BJ40=2,BI40,1)*IF(BJ41=2,BI41,1)</f>
        <v>1</v>
      </c>
      <c r="DM37" s="134">
        <f>IF(BL36=2,BK36,1)*IF(BL37=2,BK37,1)*IF(BL38=2,BK38,1)*IF(BL39=2,BK39,1)*IF(BL40=2,BK40,1)*IF(BL41=2,BK41,1)</f>
        <v>1</v>
      </c>
      <c r="DN37" s="134">
        <f>IF(BN36=2,BM36,1)*IF(BN37=2,BM37,1)*IF(BN38=2,BM38,1)*IF(BN39=2,BM39,1)*IF(BN40=2,BM40,1)*IF(BN41=2,BM41,1)</f>
        <v>1</v>
      </c>
      <c r="DO37" s="134">
        <f>IF(BP36=2,BO36,1)*IF(BP37=2,BO37,1)*IF(BP38=2,BO38,1)*IF(BP39=2,BO39,1)*IF(BP40=2,BO40,1)*IF(BP41=2,BO41,1)</f>
        <v>1</v>
      </c>
      <c r="DP37" s="134">
        <f>IF(BR36=2,BQ36,1)*IF(BR37=2,BQ37,1)*IF(BR38=2,BQ38,1)*IF(BR39=2,BQ39,1)*IF(BR40=2,BQ40,1)*IF(BR41=2,BQ41,1)</f>
        <v>1</v>
      </c>
      <c r="DQ37" s="144">
        <f t="shared" si="65"/>
        <v>1</v>
      </c>
    </row>
    <row r="38" spans="2:122" x14ac:dyDescent="0.25">
      <c r="B38" s="134">
        <v>3</v>
      </c>
      <c r="C38" s="135" t="s">
        <v>265</v>
      </c>
      <c r="F38" s="134" t="str">
        <f>Contexto!C44</f>
        <v>2 El IPC para los últimos doce meses corridos ha estado entre el 3% y el 5%.</v>
      </c>
      <c r="G38" s="134">
        <v>3</v>
      </c>
      <c r="H38" s="134" t="str">
        <f>'Descripcion Actividades'!C44</f>
        <v>4 Es necesario contratar servicios exculsivos de transporte</v>
      </c>
      <c r="I38" s="134">
        <v>6</v>
      </c>
      <c r="N38" s="134" t="str">
        <f>'Descripcion Actividades'!C67</f>
        <v>1 No se requiere recorrer trayectos superiores a 5 kilómetros para el aprovisionamiento de materiales e insumos.</v>
      </c>
      <c r="O38" s="134">
        <v>6</v>
      </c>
      <c r="P38" s="134" t="str">
        <f>'Descripcion Actividades'!C85</f>
        <v>1 El suministro de gas no es relevante para la ejecución del contrato.</v>
      </c>
      <c r="Q38" s="134">
        <v>6</v>
      </c>
      <c r="R38" s="134" t="str">
        <f>'Descripcion Actividades'!C97</f>
        <v>1 No se requiere servicio de audiovisuales en el contrato</v>
      </c>
      <c r="S38" s="134">
        <v>6</v>
      </c>
      <c r="X38" s="134" t="str">
        <f>'Descripcion Actividades'!C127</f>
        <v>3 La ejecución del contrato se hace en lugares dispersos en un mismo departamento.</v>
      </c>
      <c r="Y38" s="134">
        <v>6</v>
      </c>
      <c r="Z38" s="134" t="str">
        <f>'Descripcion Actividades'!C135</f>
        <v>2 El lugar para la ejecución del contrato es de fácil acceso y pero los tiempos para acceder pueden variar.</v>
      </c>
      <c r="AA38" s="134">
        <v>6</v>
      </c>
      <c r="AN38" s="134">
        <f t="shared" si="6"/>
        <v>0</v>
      </c>
      <c r="AO38" s="134" t="str">
        <f t="shared" si="22"/>
        <v>2</v>
      </c>
      <c r="AP38" s="134">
        <f t="shared" si="7"/>
        <v>3</v>
      </c>
      <c r="AQ38" s="134" t="str">
        <f>MID(H38,1,1)</f>
        <v>4</v>
      </c>
      <c r="AR38" s="134">
        <f t="shared" si="1"/>
        <v>6</v>
      </c>
      <c r="AT38" s="134">
        <f t="shared" si="1"/>
        <v>0</v>
      </c>
      <c r="AV38" s="134">
        <f t="shared" si="1"/>
        <v>0</v>
      </c>
      <c r="AW38" s="134" t="str">
        <f t="shared" si="59"/>
        <v>1</v>
      </c>
      <c r="AX38" s="134">
        <f t="shared" si="1"/>
        <v>6</v>
      </c>
      <c r="AY38" s="134" t="str">
        <f t="shared" si="60"/>
        <v>1</v>
      </c>
      <c r="AZ38" s="134">
        <f t="shared" si="2"/>
        <v>6</v>
      </c>
      <c r="BA38" s="134" t="str">
        <f t="shared" si="66"/>
        <v>1</v>
      </c>
      <c r="BB38" s="134">
        <f t="shared" si="2"/>
        <v>6</v>
      </c>
      <c r="BD38" s="134">
        <f t="shared" si="2"/>
        <v>0</v>
      </c>
      <c r="BF38" s="134">
        <f t="shared" si="2"/>
        <v>0</v>
      </c>
      <c r="BG38" s="134" t="str">
        <f>MID(X38,1,1)</f>
        <v>3</v>
      </c>
      <c r="BH38" s="134">
        <f t="shared" si="3"/>
        <v>6</v>
      </c>
      <c r="BI38" s="134" t="str">
        <f>MID(Z38,1,1)</f>
        <v>2</v>
      </c>
      <c r="BJ38" s="134">
        <f t="shared" si="3"/>
        <v>6</v>
      </c>
      <c r="BL38" s="134">
        <f t="shared" si="3"/>
        <v>0</v>
      </c>
      <c r="BN38" s="134">
        <f t="shared" si="3"/>
        <v>0</v>
      </c>
      <c r="BP38" s="134">
        <f t="shared" si="4"/>
        <v>0</v>
      </c>
      <c r="BR38" s="134">
        <f t="shared" si="4"/>
        <v>0</v>
      </c>
      <c r="BT38" s="134">
        <f t="shared" si="4"/>
        <v>0</v>
      </c>
      <c r="BW38" s="134">
        <f>VALUE(AO38)</f>
        <v>2</v>
      </c>
      <c r="BX38" s="134">
        <f>VALUE(AQ38)</f>
        <v>4</v>
      </c>
      <c r="CA38" s="134">
        <f t="shared" si="62"/>
        <v>1</v>
      </c>
      <c r="CB38" s="134">
        <f t="shared" si="63"/>
        <v>1</v>
      </c>
      <c r="CC38" s="134">
        <f t="shared" si="67"/>
        <v>1</v>
      </c>
      <c r="CF38" s="134">
        <f>VALUE(BG38)</f>
        <v>3</v>
      </c>
      <c r="CG38" s="134">
        <f>VALUE(BI38)</f>
        <v>2</v>
      </c>
      <c r="CL38" s="142"/>
      <c r="CX38" s="144"/>
      <c r="CY38" s="144"/>
      <c r="CZ38" s="144"/>
      <c r="DA38" s="134">
        <f>IF(AN36=3,AM36,1)*IF(AN37=3,AM37,1)*IF(AN38=3,AM38,1)*IF(AN39=3,AM39,1)*IF(AN40=3,AM40,1)*IF(AN41=3,AM41,1)</f>
        <v>1</v>
      </c>
      <c r="DB38" s="134">
        <f>IF(AP36=3,AO36,1)*IF(AP37=3,AO37,1)*IF(AP38=3,AO38,1)*IF(AP39=3,AO39,1)*IF(AP40=3,AO40,1)*IF(AP41=3,AN41,1)</f>
        <v>2</v>
      </c>
      <c r="DC38" s="134">
        <f>IF(AR36=3,AQ36,1)*IF(AR37=3,AQ37,1)*IF(AR38=3,AQ38,1)*IF(AR39=3,AQ39,1)*IF(AR40=3,AQ40,1)*IF(AR41=3,AQ41,1)</f>
        <v>1</v>
      </c>
      <c r="DD38" s="134">
        <f>IF(AT36=3,AS36,1)*IF(AT37=3,AS37,1)*IF(AT38=3,AS38,1)*IF(AT39=3,AS39,1)*IF(AT40=3,AS40,1)*IF(AT41=3,AS41,1)</f>
        <v>1</v>
      </c>
      <c r="DE38" s="134">
        <f>IF(AV36=3,AU36,1)*IF(AV37=3,AU37,1)*IF(AV38=3,AU38,1)*IF(AV39=3,AU39,1)*IF(AV40=3,AU40,1)*IF(AV41=3,AU41,1)</f>
        <v>1</v>
      </c>
      <c r="DF38" s="134">
        <f>IF(AX36=3,AW36,1)*IF(AX37=3,AW37,1)*IF(AX38=3,AW38,1)*IF(AX39=3,AW39,1)*IF(AX40=3,AW40,1)*IF(AX41=3,AW41,1)</f>
        <v>1</v>
      </c>
      <c r="DG38" s="134">
        <f>IF(AZ36=3,AY36,1)*IF(AZ37=3,AY37,1)*IF(AZ38=3,AY38,1)*IF(AZ39=3,AY39,1)*IF(AZ40=3,AY40,1)*IF(AZ41=3,AY41,1)</f>
        <v>1</v>
      </c>
      <c r="DH38" s="134">
        <f>IF(BB36=3,BA36,1)*IF(BB37=3,BA37,1)*IF(BB38=3,BA38,1)*IF(BB39=3,BA39,1)*IF(BB40=3,BA40,1)*IF(BB41=3,BA41,1)</f>
        <v>1</v>
      </c>
      <c r="DI38" s="134">
        <f>IF(BD36=3,BC36,1)*IF(BD37=3,BC37,1)*IF(BD38=3,BC38,1)*IF(BD39=3,BC39,1)*IF(BD40=3,BC40,1)*IF(BD41=3,BC41,1)</f>
        <v>1</v>
      </c>
      <c r="DJ38" s="134">
        <f>IF(BF36=3,BE36,1)*IF(BF37=3,BE37,1)*IF(BF38=3,BE38,1)*IF(BF39=3,BE39,1)*IF(BF40=3,BE40,1)*IF(BF41=3,BE41,1)</f>
        <v>1</v>
      </c>
      <c r="DK38" s="134">
        <f>IF(BH36=3,BG36,1)*IF(BH37=3,BG37,1)*IF(BH38=3,BG38,1)*IF(BH39=3,BG39,1)*IF(BH40=3,BG40,1)*IF(BH41=3,BG41,1)</f>
        <v>1</v>
      </c>
      <c r="DL38" s="134">
        <f>IF(BJ36=3,BI36,1)*IF(BJ37=3,BI37,1)*IF(BJ38=3,BI38,1)*IF(BJ39=3,BI39,1)*IF(BJ40=3,BI40,1)*IF(BJ41=3,BI41,1)</f>
        <v>1</v>
      </c>
      <c r="DM38" s="134">
        <f>IF(BL36=3,BK36,1)*IF(BL37=3,BK37,1)*IF(BL38=3,BK38,1)*IF(BL39=3,BK39,1)*IF(BL40=3,BK40,1)*IF(BL41=3,BK41,1)</f>
        <v>1</v>
      </c>
      <c r="DN38" s="134">
        <f>IF(BN36=3,BM36,1)*IF(BN37=3,BM37,1)*IF(BN38=3,BM38,1)*IF(BN39=3,BM39,1)*IF(BN40=3,BM40,1)*IF(BN41=3,BM41,1)</f>
        <v>1</v>
      </c>
      <c r="DO38" s="134">
        <f>IF(BP36=3,BO36,1)*IF(BP37=3,BO37,1)*IF(BP38=3,BO38,1)*IF(BP39=3,BO39,1)*IF(BP40=3,BO40,1)*IF(BP41=3,BO41,1)</f>
        <v>1</v>
      </c>
      <c r="DP38" s="134">
        <f>IF(BR36=3,BQ36,1)*IF(BR37=3,BQ37,1)*IF(BR38=3,BQ38,1)*IF(BR39=3,BQ39,1)*IF(BR40=3,BQ40,1)*IF(BR41=3,BQ41,1)</f>
        <v>1</v>
      </c>
      <c r="DQ38" s="144">
        <f t="shared" si="65"/>
        <v>2</v>
      </c>
    </row>
    <row r="39" spans="2:122" ht="30" x14ac:dyDescent="0.25">
      <c r="B39" s="134">
        <v>4</v>
      </c>
      <c r="C39" s="135" t="s">
        <v>266</v>
      </c>
      <c r="H39" s="134" t="str">
        <f>'Descripcion Actividades'!C46</f>
        <v>1 Se requiere una sola modalidad de transporte</v>
      </c>
      <c r="I39" s="134">
        <v>6</v>
      </c>
      <c r="N39" s="134" t="str">
        <f>'Descripcion Actividades'!C71</f>
        <v>1 Ninguno de los materiales e insumos requiere de permiso legal para acceder a ellos.</v>
      </c>
      <c r="O39" s="134">
        <v>6</v>
      </c>
      <c r="P39" s="134" t="str">
        <f>'Descripcion Actividades'!C87</f>
        <v>5 Se requiere aprovisionarse de medios de telecomunicación satelital.</v>
      </c>
      <c r="Q39" s="134">
        <v>6</v>
      </c>
      <c r="R39" s="134" t="str">
        <f>'Descripcion Actividades'!C99</f>
        <v>2 Se requieren algunos servicios de alojamiento y su disponibilidad es amplia.</v>
      </c>
      <c r="S39" s="134">
        <v>6</v>
      </c>
      <c r="Z39" s="134" t="str">
        <f>'Descripcion Actividades'!C137</f>
        <v>1 La obra contempla actividades a nivel de piso.</v>
      </c>
      <c r="AA39" s="134">
        <v>6</v>
      </c>
      <c r="AN39" s="134">
        <f t="shared" si="6"/>
        <v>0</v>
      </c>
      <c r="AP39" s="134">
        <f t="shared" si="7"/>
        <v>0</v>
      </c>
      <c r="AQ39" s="134" t="str">
        <f>MID(H39,1,1)</f>
        <v>1</v>
      </c>
      <c r="AR39" s="134">
        <f t="shared" si="1"/>
        <v>6</v>
      </c>
      <c r="AT39" s="134">
        <f t="shared" si="1"/>
        <v>0</v>
      </c>
      <c r="AV39" s="134">
        <f t="shared" si="1"/>
        <v>0</v>
      </c>
      <c r="AW39" s="134" t="str">
        <f t="shared" si="59"/>
        <v>1</v>
      </c>
      <c r="AX39" s="134">
        <f t="shared" si="1"/>
        <v>6</v>
      </c>
      <c r="AY39" s="134" t="str">
        <f t="shared" si="60"/>
        <v>5</v>
      </c>
      <c r="AZ39" s="134">
        <f t="shared" si="2"/>
        <v>6</v>
      </c>
      <c r="BA39" s="134" t="str">
        <f t="shared" si="66"/>
        <v>2</v>
      </c>
      <c r="BB39" s="134">
        <f t="shared" si="2"/>
        <v>6</v>
      </c>
      <c r="BD39" s="134">
        <f t="shared" si="2"/>
        <v>0</v>
      </c>
      <c r="BF39" s="134">
        <f t="shared" si="2"/>
        <v>0</v>
      </c>
      <c r="BH39" s="134">
        <f t="shared" si="3"/>
        <v>0</v>
      </c>
      <c r="BI39" s="134" t="str">
        <f>MID(Z39,1,1)</f>
        <v>1</v>
      </c>
      <c r="BJ39" s="134">
        <f t="shared" si="3"/>
        <v>6</v>
      </c>
      <c r="BL39" s="134">
        <f t="shared" si="3"/>
        <v>0</v>
      </c>
      <c r="BN39" s="134">
        <f t="shared" si="3"/>
        <v>0</v>
      </c>
      <c r="BP39" s="134">
        <f t="shared" si="4"/>
        <v>0</v>
      </c>
      <c r="BR39" s="134">
        <f t="shared" si="4"/>
        <v>0</v>
      </c>
      <c r="BT39" s="134">
        <f t="shared" si="4"/>
        <v>0</v>
      </c>
      <c r="BX39" s="134">
        <f>VALUE(AQ39)</f>
        <v>1</v>
      </c>
      <c r="CA39" s="134">
        <f t="shared" si="62"/>
        <v>1</v>
      </c>
      <c r="CB39" s="134">
        <f t="shared" si="63"/>
        <v>5</v>
      </c>
      <c r="CC39" s="134">
        <f t="shared" si="67"/>
        <v>2</v>
      </c>
      <c r="CG39" s="134">
        <f>VALUE(BI39)</f>
        <v>1</v>
      </c>
      <c r="CL39" s="142"/>
      <c r="CX39" s="144"/>
      <c r="CY39" s="144"/>
      <c r="CZ39" s="144"/>
      <c r="DA39" s="134">
        <f>IF(AN36=4,AM36,1)*IF(AN37=4,AM37,1)*IF(AN38=4,AM38,1)*IF(AN39=4,AM39,1)*IF(AN40=4,AM40,1)*IF(AN41=4,AM41,1)</f>
        <v>1</v>
      </c>
      <c r="DB39" s="134">
        <f>IF(AP36=4,AO36,1)*IF(AP37=4,AO37,1)*IF(AP38=4,AO38,1)*IF(AP39=4,AO39,1)*IF(AP40=4,AO40,1)*IF(AP41=4,AN41,1)</f>
        <v>1</v>
      </c>
      <c r="DC39" s="134">
        <f>IF(AR36=4,AQ36,1)*IF(AR37=4,AQ37,1)*IF(AR38=4,AQ38,1)*IF(AR39=4,AQ39,1)*IF(AR40=4,AQ40,1)*IF(AR41=4,AQ41,1)</f>
        <v>1</v>
      </c>
      <c r="DD39" s="134">
        <f>IF(AT36=4,AS36,1)*IF(AT37=4,AS37,1)*IF(AT38=4,AS38,1)*IF(AT39=4,AS39,1)*IF(AT40=4,AS40,1)*IF(AT41=4,AS41,1)</f>
        <v>1</v>
      </c>
      <c r="DE39" s="134">
        <f>IF(AV36=4,AU36,1)*IF(AV37=4,AU37,1)*IF(AV38=4,AU38,1)*IF(AV39=4,AU39,1)*IF(AV40=4,AU40,1)*IF(AV41=4,AU41,1)</f>
        <v>1</v>
      </c>
      <c r="DF39" s="134">
        <f>IF(AX36=4,AW36,1)*IF(AX37=4,AW37,1)*IF(AX38=4,AW38,1)*IF(AX39=4,AW39,1)*IF(AX40=4,AW40,1)*IF(AX41=4,AW41,1)</f>
        <v>1</v>
      </c>
      <c r="DG39" s="134">
        <f>IF(AZ36=4,AY36,1)*IF(AZ37=4,AY37,1)*IF(AZ38=4,AY38,1)*IF(AZ39=4,AY39,1)*IF(AZ40=4,AY40,1)*IF(AZ41=4,AY41,1)</f>
        <v>1</v>
      </c>
      <c r="DH39" s="134">
        <f>IF(BB36=4,BA36,1)*IF(BB37=4,BA37,1)*IF(BB38=4,BA38,1)*IF(BB39=4,BA39,1)*IF(BB40=4,BA40,1)*IF(BB41=4,BA41,1)</f>
        <v>1</v>
      </c>
      <c r="DI39" s="134">
        <f>IF(BD36=4,BC36,1)*IF(BD37=4,BC37,1)*IF(BD38=4,BC38,1)*IF(BD39=4,BC39,1)*IF(BD40=4,BC40,1)*IF(BD41=4,BC41,1)</f>
        <v>1</v>
      </c>
      <c r="DJ39" s="134">
        <f>IF(BF36=4,BE36,1)*IF(BF37=4,BE37,1)*IF(BF38=4,BE38,1)*IF(BF39=4,BE39,1)*IF(BF40=4,BE40,1)*IF(BF41=4,BE41,1)</f>
        <v>1</v>
      </c>
      <c r="DK39" s="134">
        <f>IF(BH36=4,BG36,1)*IF(BH37=4,BG37,1)*IF(BH38=4,BG38,1)*IF(BH39=4,BG39,1)*IF(BH40=4,BG40,1)*IF(BH41=4,BG41,1)</f>
        <v>1</v>
      </c>
      <c r="DL39" s="134">
        <f>IF(BJ36=4,BI36,1)*IF(BJ37=4,BI37,1)*IF(BJ38=4,BI38,1)*IF(BJ39=4,BI39,1)*IF(BJ40=4,BI40,1)*IF(BJ41=4,BI41,1)</f>
        <v>1</v>
      </c>
      <c r="DM39" s="134">
        <f>IF(BL36=4,BK36,1)*IF(BL37=4,BK37,1)*IF(BL38=4,BK38,1)*IF(BL39=4,BK39,1)*IF(BL40=4,BK40,1)*IF(BL41=4,BK41,1)</f>
        <v>1</v>
      </c>
      <c r="DN39" s="134">
        <f>IF(BN36=4,BM36,1)*IF(BN37=4,BM37,1)*IF(BN38=4,BM38,1)*IF(BN39=4,BM39,1)*IF(BN40=4,BM40,1)*IF(BN41=4,BM41,1)</f>
        <v>1</v>
      </c>
      <c r="DO39" s="134">
        <f>IF(BP36=4,BO36,1)*IF(BP37=4,BO37,1)*IF(BP38=4,BO38,1)*IF(BP39=4,BO39,1)*IF(BP40=4,BO40,1)*IF(BP41=4,BO41,1)</f>
        <v>1</v>
      </c>
      <c r="DP39" s="134">
        <f>IF(BR36=4,BQ36,1)*IF(BR37=4,BQ37,1)*IF(BR38=4,BQ38,1)*IF(BR39=4,BQ39,1)*IF(BR40=4,BQ40,1)*IF(BR41=4,BQ41,1)</f>
        <v>1</v>
      </c>
      <c r="DQ39" s="144">
        <f t="shared" si="65"/>
        <v>1</v>
      </c>
    </row>
    <row r="40" spans="2:122" x14ac:dyDescent="0.25">
      <c r="B40" s="134">
        <v>5</v>
      </c>
      <c r="C40" s="135" t="s">
        <v>267</v>
      </c>
      <c r="N40" s="134" t="str">
        <f>'Descripcion Actividades'!C73</f>
        <v>1 Los materiales e insumos son todos de origen nacional.</v>
      </c>
      <c r="O40" s="134">
        <v>4</v>
      </c>
      <c r="P40" s="134" t="str">
        <f>'Descripcion Actividades'!C89</f>
        <v>5 Se requiere aprovisionarse de servicio de conectividad satelital.</v>
      </c>
      <c r="Q40" s="134">
        <v>6</v>
      </c>
      <c r="R40" s="134" t="str">
        <f>'Descripcion Actividades'!C101</f>
        <v>2 Se requieren algunos servicios sanitarios y su disponibilidad es amplia.</v>
      </c>
      <c r="S40" s="134">
        <v>6</v>
      </c>
      <c r="Z40" s="134" t="str">
        <f>'Descripcion Actividades'!C139</f>
        <v>1 La obra no contempla  actividades de excavación, cimentación o instalación de estructuras elevadas o de elementos de gran tamaño y elevado peso.</v>
      </c>
      <c r="AA40" s="134">
        <v>6</v>
      </c>
      <c r="AN40" s="134">
        <f t="shared" si="6"/>
        <v>0</v>
      </c>
      <c r="AP40" s="134">
        <f t="shared" si="7"/>
        <v>0</v>
      </c>
      <c r="AR40" s="134">
        <f t="shared" si="1"/>
        <v>0</v>
      </c>
      <c r="AT40" s="134">
        <f t="shared" si="1"/>
        <v>0</v>
      </c>
      <c r="AV40" s="134">
        <f t="shared" si="1"/>
        <v>0</v>
      </c>
      <c r="AW40" s="134" t="str">
        <f t="shared" si="59"/>
        <v>1</v>
      </c>
      <c r="AX40" s="134">
        <f t="shared" si="1"/>
        <v>4</v>
      </c>
      <c r="AY40" s="134" t="str">
        <f t="shared" si="60"/>
        <v>5</v>
      </c>
      <c r="AZ40" s="134">
        <f t="shared" si="2"/>
        <v>6</v>
      </c>
      <c r="BA40" s="134" t="str">
        <f t="shared" si="66"/>
        <v>2</v>
      </c>
      <c r="BB40" s="134">
        <f t="shared" si="2"/>
        <v>6</v>
      </c>
      <c r="BD40" s="134">
        <f t="shared" si="2"/>
        <v>0</v>
      </c>
      <c r="BF40" s="134">
        <f t="shared" si="2"/>
        <v>0</v>
      </c>
      <c r="BH40" s="134">
        <f t="shared" si="3"/>
        <v>0</v>
      </c>
      <c r="BI40" s="134" t="str">
        <f>MID(Z40,1,1)</f>
        <v>1</v>
      </c>
      <c r="BJ40" s="134">
        <f t="shared" si="3"/>
        <v>6</v>
      </c>
      <c r="BL40" s="134">
        <f t="shared" si="3"/>
        <v>0</v>
      </c>
      <c r="BN40" s="134">
        <f t="shared" si="3"/>
        <v>0</v>
      </c>
      <c r="BP40" s="134">
        <f t="shared" si="4"/>
        <v>0</v>
      </c>
      <c r="BR40" s="134">
        <f t="shared" si="4"/>
        <v>0</v>
      </c>
      <c r="BT40" s="134">
        <f t="shared" si="4"/>
        <v>0</v>
      </c>
      <c r="CA40" s="134">
        <f t="shared" si="62"/>
        <v>1</v>
      </c>
      <c r="CB40" s="134">
        <f t="shared" si="63"/>
        <v>5</v>
      </c>
      <c r="CC40" s="134">
        <f t="shared" si="67"/>
        <v>2</v>
      </c>
      <c r="CG40" s="134">
        <f>VALUE(BI40)</f>
        <v>1</v>
      </c>
      <c r="CL40" s="142"/>
      <c r="CX40" s="144"/>
      <c r="CY40" s="144"/>
      <c r="CZ40" s="144"/>
      <c r="DA40" s="134">
        <f>IF(AN36=5,AM36,1)*IF(AN37=5,AM37,1)*IF(AN38=5,AM38,1)*IF(AN39=5,AM39,1)*IF(AN40=5,AM40,1)*IF(AN41=5,AM41,1)</f>
        <v>1</v>
      </c>
      <c r="DB40" s="134">
        <f>IF(AP36=5,AO36,1)*IF(AP37=5,AO37,1)*IF(AP38=5,AO38,1)*IF(AP39=5,AO39,1)*IF(AP40=5,AO40,1)*IF(AP41=5,AN41,1)</f>
        <v>1</v>
      </c>
      <c r="DC40" s="134">
        <f>IF(AR36=5,AQ36,1)*IF(AR37=5,AQ37,1)*IF(AR38=5,AQ38,1)*IF(AR39=5,AQ39,1)*IF(AR40=5,AQ40,1)*IF(AR41=5,AQ41,1)</f>
        <v>1</v>
      </c>
      <c r="DD40" s="134">
        <f>IF(AT36=5,AS36,1)*IF(AT37=5,AS37,1)*IF(AT38=5,AS38,1)*IF(AT39=5,AS39,1)*IF(AT40=5,AS40,1)*IF(AT41=5,AS41,1)</f>
        <v>1</v>
      </c>
      <c r="DE40" s="134">
        <f>IF(AV36=5,AU36,1)*IF(AV37=5,AU37,1)*IF(AV38=5,AU38,1)*IF(AV39=5,AU39,1)*IF(AV40=5,AU40,1)*IF(AV41=5,AU41,1)</f>
        <v>1</v>
      </c>
      <c r="DF40" s="134">
        <f>IF(AX36=5,AW36,1)*IF(AX37=5,AW37,1)*IF(AX38=5,AW38,1)*IF(AX39=5,AW39,1)*IF(AX40=5,AW40,1)*IF(AX41=5,AW41,1)</f>
        <v>1</v>
      </c>
      <c r="DG40" s="134">
        <f>IF(AZ36=5,AY36,1)*IF(AZ37=5,AY37,1)*IF(AZ38=5,AY38,1)*IF(AZ39=5,AY39,1)*IF(AZ40=5,AY40,1)*IF(AZ41=5,AY41,1)</f>
        <v>1</v>
      </c>
      <c r="DH40" s="134">
        <f>IF(BB36=5,BA36,1)*IF(BB37=5,BA37,1)*IF(BB38=5,BA38,1)*IF(BB39=5,BA39,1)*IF(BB40=5,BA40,1)*IF(BB41=5,BA41,1)</f>
        <v>1</v>
      </c>
      <c r="DI40" s="134">
        <f>IF(BD36=5,BC36,1)*IF(BD37=5,BC37,1)*IF(BD38=5,BC38,1)*IF(BD39=5,BC39,1)*IF(BD40=5,BC40,1)*IF(BD41=5,BC41,1)</f>
        <v>1</v>
      </c>
      <c r="DJ40" s="134">
        <f>IF(BF36=5,BE36,1)*IF(BF37=5,BE37,1)*IF(BF38=5,BE38,1)*IF(BF39=5,BE39,1)*IF(BF40=5,BE40,1)*IF(BF41=5,BE41,1)</f>
        <v>1</v>
      </c>
      <c r="DK40" s="134">
        <f>IF(BH36=5,BG36,1)*IF(BH37=5,BG37,1)*IF(BH38=5,BG38,1)*IF(BH39=5,BG39,1)*IF(BH40=5,BG40,1)*IF(BH41=5,BG41,1)</f>
        <v>1</v>
      </c>
      <c r="DL40" s="134">
        <f>IF(BJ36=5,BI36,1)*IF(BJ37=5,BI37,1)*IF(BJ38=5,BI38,1)*IF(BJ39=5,BI39,1)*IF(BJ40=5,BI40,1)*IF(BJ41=5,BI41,1)</f>
        <v>1</v>
      </c>
      <c r="DM40" s="134">
        <f>IF(BL36=5,BK36,1)*IF(BL37=5,BK37,1)*IF(BL38=5,BK38,1)*IF(BL39=5,BK39,1)*IF(BL40=5,BK40,1)*IF(BL41=5,BK41,1)</f>
        <v>1</v>
      </c>
      <c r="DN40" s="134">
        <f>IF(BN36=5,BM36,1)*IF(BN37=5,BM37,1)*IF(BN38=5,BM38,1)*IF(BN39=5,BM39,1)*IF(BN40=5,BM40,1)*IF(BN41=5,BM41,1)</f>
        <v>1</v>
      </c>
      <c r="DO40" s="134">
        <f>IF(BP36=5,BO36,1)*IF(BP37=5,BO37,1)*IF(BP38=5,BO38,1)*IF(BP39=5,BO39,1)*IF(BP40=5,BO40,1)*IF(BP41=5,BO41,1)</f>
        <v>1</v>
      </c>
      <c r="DP40" s="134">
        <f>IF(BR36=5,BQ36,1)*IF(BR37=5,BQ37,1)*IF(BR38=5,BQ38,1)*IF(BR39=5,BQ39,1)*IF(BR40=5,BQ40,1)*IF(BR41=5,BQ41,1)</f>
        <v>1</v>
      </c>
      <c r="DQ40" s="144">
        <f t="shared" si="65"/>
        <v>1</v>
      </c>
    </row>
    <row r="41" spans="2:122" x14ac:dyDescent="0.25">
      <c r="B41" s="134">
        <v>6</v>
      </c>
      <c r="C41" s="135" t="s">
        <v>268</v>
      </c>
      <c r="N41" s="134" t="str">
        <f>'Descripcion Actividades'!C75</f>
        <v>1 No se contemplan materiales e insumos perecederos para la ejecución del contrato.</v>
      </c>
      <c r="O41" s="134">
        <v>6</v>
      </c>
      <c r="P41" s="134" t="str">
        <f>'Descripcion Actividades'!C91</f>
        <v>4 Se requiere el procesamiento de un alto volumen de datos, es relevante para la ejecución del contrato y se realiza con un tercero.</v>
      </c>
      <c r="Q41" s="134">
        <v>6</v>
      </c>
      <c r="R41" s="134" t="str">
        <f>'Descripcion Actividades'!C103</f>
        <v>2 Se requieren algunos ensayos de laboratorio y su disponibilidad es amplia.</v>
      </c>
      <c r="S41" s="134">
        <v>6</v>
      </c>
      <c r="Z41" s="134" t="str">
        <f>'Descripcion Actividades'!C141</f>
        <v>1 La obra no contempla actividades bajo el agua.</v>
      </c>
      <c r="AA41" s="134">
        <v>6</v>
      </c>
      <c r="AN41" s="134">
        <f t="shared" si="6"/>
        <v>0</v>
      </c>
      <c r="AP41" s="134">
        <f t="shared" si="7"/>
        <v>0</v>
      </c>
      <c r="AR41" s="134">
        <f t="shared" si="1"/>
        <v>0</v>
      </c>
      <c r="AT41" s="134">
        <f t="shared" si="1"/>
        <v>0</v>
      </c>
      <c r="AV41" s="134">
        <f t="shared" si="1"/>
        <v>0</v>
      </c>
      <c r="AW41" s="134" t="str">
        <f t="shared" si="59"/>
        <v>1</v>
      </c>
      <c r="AX41" s="134">
        <f t="shared" si="1"/>
        <v>6</v>
      </c>
      <c r="AY41" s="134" t="str">
        <f t="shared" si="60"/>
        <v>4</v>
      </c>
      <c r="AZ41" s="134">
        <f t="shared" si="2"/>
        <v>6</v>
      </c>
      <c r="BA41" s="134" t="str">
        <f t="shared" si="66"/>
        <v>2</v>
      </c>
      <c r="BB41" s="134">
        <f t="shared" si="2"/>
        <v>6</v>
      </c>
      <c r="BD41" s="134">
        <f t="shared" si="2"/>
        <v>0</v>
      </c>
      <c r="BF41" s="134">
        <f t="shared" si="2"/>
        <v>0</v>
      </c>
      <c r="BH41" s="134">
        <f t="shared" si="3"/>
        <v>0</v>
      </c>
      <c r="BI41" s="134" t="str">
        <f>MID(Z41,1,1)</f>
        <v>1</v>
      </c>
      <c r="BJ41" s="134">
        <f t="shared" si="3"/>
        <v>6</v>
      </c>
      <c r="BL41" s="134">
        <f t="shared" si="3"/>
        <v>0</v>
      </c>
      <c r="BN41" s="134">
        <f t="shared" si="3"/>
        <v>0</v>
      </c>
      <c r="BP41" s="134">
        <f t="shared" si="4"/>
        <v>0</v>
      </c>
      <c r="BR41" s="134">
        <f t="shared" si="4"/>
        <v>0</v>
      </c>
      <c r="BT41" s="134">
        <f t="shared" si="4"/>
        <v>0</v>
      </c>
      <c r="CA41" s="134">
        <f t="shared" si="62"/>
        <v>1</v>
      </c>
      <c r="CB41" s="134">
        <f t="shared" si="63"/>
        <v>4</v>
      </c>
      <c r="CC41" s="134">
        <f t="shared" si="67"/>
        <v>2</v>
      </c>
      <c r="CG41" s="134">
        <f>VALUE(BI41)</f>
        <v>1</v>
      </c>
      <c r="CL41" s="142"/>
      <c r="CX41" s="144"/>
      <c r="CY41" s="144"/>
      <c r="CZ41" s="144"/>
      <c r="DA41" s="134">
        <f>IF(AN36=6,AM36,1)*IF(AN37=6,AM37,1)*IF(AN38=6,AM38,1)*IF(AN39=6,AM39,1)*IF(AN40=6,AM40,1)*IF(AN41=6,AM41,1)</f>
        <v>1</v>
      </c>
      <c r="DB41" s="134">
        <f>IF(AP36=6,AO36,1)*IF(AP37=6,AO37,1)*IF(AP38=6,AO38,1)*IF(AP39=6,AO39,1)*IF(AP40=6,AO40,1)*IF(AP41=6,AN41,1)</f>
        <v>1</v>
      </c>
      <c r="DC41" s="134">
        <f>IF(AR36=6,AQ36,1)*IF(AR37=6,AQ37,1)*IF(AR38=6,AQ38,1)*IF(AR39=6,AQ39,1)*IF(AR40=6,AQ40,1)*IF(AR41=6,AQ41,1)</f>
        <v>48</v>
      </c>
      <c r="DD41" s="134">
        <f>IF(AT36=6,AS36,1)*IF(AT37=6,AS37,1)*IF(AT38=6,AS38,1)*IF(AT39=6,AS39,1)*IF(AT40=6,AS40,1)*IF(AT41=6,AS41,1)</f>
        <v>1</v>
      </c>
      <c r="DE41" s="134">
        <f>IF(AV36=6,AU36,1)*IF(AV37=6,AU37,1)*IF(AV38=6,AU38,1)*IF(AV39=6,AU39,1)*IF(AV40=6,AU40,1)*IF(AV41=6,AU41,1)</f>
        <v>1</v>
      </c>
      <c r="DF41" s="134">
        <f>IF(AX36=6,AW36,1)*IF(AX37=6,AW37,1)*IF(AX38=6,AW38,1)*IF(AX39=6,AW39,1)*IF(AX40=6,AW40,1)*IF(AX41=6,AW41,1)</f>
        <v>1</v>
      </c>
      <c r="DG41" s="134">
        <f>IF(AZ36=6,AY36,1)*IF(AZ37=6,AY37,1)*IF(AZ38=6,AY38,1)*IF(AZ39=6,AY39,1)*IF(AZ40=6,AY40,1)*IF(AZ41=6,AY41,1)</f>
        <v>200</v>
      </c>
      <c r="DH41" s="134">
        <f>IF(BB36=5,BA36,1)*IF(BB37=5,BA37,1)*IF(BB38=5,BA38,1)*IF(BB39=5,BA39,1)*IF(BB40=5,BA40,1)*IF(BB41=6,BA41,1)</f>
        <v>2</v>
      </c>
      <c r="DI41" s="134">
        <f>IF(BD36=6,BC36,1)*IF(BD37=6,BC37,1)*IF(BD38=6,BC38,1)*IF(BD39=6,BC39,1)*IF(BD40=6,BC40,1)*IF(BD41=6,BC41,1)</f>
        <v>1</v>
      </c>
      <c r="DJ41" s="134">
        <f>IF(BF36=6,BE36,1)*IF(BF37=6,BE37,1)*IF(BF38=6,BE38,1)*IF(BF39=6,BE39,1)*IF(BF40=6,BE40,1)*IF(BF41=6,BE41,1)</f>
        <v>2</v>
      </c>
      <c r="DK41" s="134">
        <f>IF(BH36=6,BG36,1)*IF(BH37=6,BG37,1)*IF(BH38=6,BG38,1)*IF(BH39=6,BG39,1)*IF(BH40=6,BG40,1)*IF(BH41=6,BG41,1)</f>
        <v>24</v>
      </c>
      <c r="DL41" s="134">
        <f>IF(BJ36=6,BI36,1)*IF(BJ37=6,BI37,1)*IF(BJ38=6,BI38,1)*IF(BJ39=6,BI39,1)*IF(BJ40=6,BI40,1)*IF(BJ41=6,BI41,1)</f>
        <v>2</v>
      </c>
      <c r="DM41" s="134">
        <f>IF(BL36=5,BK36,1)*IF(BL37=5,BK37,1)*IF(BL38=5,BK38,1)*IF(BL39=5,BK39,1)*IF(BL40=5,BK40,1)*IF(BL41=6,BK41,1)</f>
        <v>1</v>
      </c>
      <c r="DN41" s="134">
        <f>IF(BN36=5,BM36,1)*IF(BN37=5,BM37,1)*IF(BN38=5,BM38,1)*IF(BN39=5,BM39,1)*IF(BN40=5,BM40,1)*IF(BN41=6,BM41,1)</f>
        <v>1</v>
      </c>
      <c r="DO41" s="134">
        <f>IF(BP36=6,BO36,1)*IF(BP37=6,BO37,1)*IF(BP38=6,BO38,1)*IF(BP39=6,BO39,1)*IF(BP40=6,BO40,1)*IF(BP41=6,BO41,1)</f>
        <v>1</v>
      </c>
      <c r="DP41" s="134">
        <f>IF(BR36=6,BQ36,1)*IF(BR37=6,BQ37,1)*IF(BR38=6,BQ38,1)*IF(BR39=6,BQ39,1)*IF(BR40=6,BQ40,1)*IF(BR41=6,BQ41,1)</f>
        <v>1</v>
      </c>
      <c r="DQ41" s="144">
        <f t="shared" si="65"/>
        <v>1843200</v>
      </c>
    </row>
    <row r="42" spans="2:122" s="144" customFormat="1" x14ac:dyDescent="0.25">
      <c r="C42" s="147"/>
      <c r="AN42" s="134">
        <f t="shared" si="6"/>
        <v>0</v>
      </c>
      <c r="AP42" s="134">
        <f t="shared" si="7"/>
        <v>0</v>
      </c>
      <c r="AR42" s="134">
        <f t="shared" si="1"/>
        <v>0</v>
      </c>
      <c r="AT42" s="134">
        <f t="shared" si="1"/>
        <v>0</v>
      </c>
      <c r="AV42" s="134">
        <f t="shared" si="1"/>
        <v>0</v>
      </c>
      <c r="AX42" s="134">
        <f t="shared" si="1"/>
        <v>0</v>
      </c>
      <c r="AZ42" s="134">
        <f t="shared" si="2"/>
        <v>0</v>
      </c>
      <c r="BB42" s="134">
        <f t="shared" si="2"/>
        <v>0</v>
      </c>
      <c r="BD42" s="134">
        <f t="shared" si="2"/>
        <v>0</v>
      </c>
      <c r="BF42" s="134">
        <f t="shared" si="2"/>
        <v>0</v>
      </c>
      <c r="BH42" s="134">
        <f t="shared" si="3"/>
        <v>0</v>
      </c>
      <c r="BJ42" s="134">
        <f t="shared" si="3"/>
        <v>0</v>
      </c>
      <c r="BL42" s="134">
        <f t="shared" si="3"/>
        <v>0</v>
      </c>
      <c r="BN42" s="134">
        <f t="shared" si="3"/>
        <v>0</v>
      </c>
      <c r="BP42" s="134">
        <f t="shared" si="4"/>
        <v>0</v>
      </c>
      <c r="BR42" s="134">
        <f t="shared" si="4"/>
        <v>0</v>
      </c>
      <c r="BT42" s="134">
        <f t="shared" si="4"/>
        <v>0</v>
      </c>
      <c r="BV42" s="144">
        <f>BV36</f>
        <v>1</v>
      </c>
      <c r="BW42" s="144">
        <f>BW36*BW37*BW38</f>
        <v>6</v>
      </c>
      <c r="BX42" s="144">
        <f>BX36*BX37*BX38*BX39</f>
        <v>48</v>
      </c>
      <c r="BY42" s="144">
        <f>BY36*BY37</f>
        <v>1</v>
      </c>
      <c r="BZ42" s="144">
        <f>BZ36*BZ37</f>
        <v>1</v>
      </c>
      <c r="CA42" s="144">
        <f>CA36*CA37*CA38*CA39*CA40*CA41</f>
        <v>1</v>
      </c>
      <c r="CB42" s="144">
        <f>CB36*CB37*CB38*CB39*CB40*CB41</f>
        <v>200</v>
      </c>
      <c r="CC42" s="144">
        <f>CC36*CC37*CC38*CC39*CC40*CC41</f>
        <v>32</v>
      </c>
      <c r="CD42" s="144">
        <f>CD36</f>
        <v>1</v>
      </c>
      <c r="CE42" s="144">
        <f>CE36</f>
        <v>2</v>
      </c>
      <c r="CF42" s="144">
        <f>CF36*CF37*CF38</f>
        <v>24</v>
      </c>
      <c r="CG42" s="144">
        <f>CG36*CG37*CG38*CG39*CG40*CG41</f>
        <v>2</v>
      </c>
      <c r="CL42" s="148">
        <f>PRODUCT(BV42:CK42)</f>
        <v>176947200</v>
      </c>
      <c r="CX42" s="144" t="str">
        <f>IF(CL42&lt;CO10,'cap.7 - analisis riesgos'!$B$15,IF('Eval Factores de Riesgo'!CL42&lt;'Eval Factores de Riesgo'!CP10,'cap.7 - analisis riesgos'!$B$16,IF('Eval Factores de Riesgo'!CL42&lt;'Eval Factores de Riesgo'!CQ10,'cap.7 - analisis riesgos'!$B$17,IF('Eval Factores de Riesgo'!CL42&lt;'Eval Factores de Riesgo'!CS10,'cap.7 - analisis riesgos'!$B$18,'cap.7 - analisis riesgos'!$B$19))))</f>
        <v>Posible</v>
      </c>
      <c r="CY42" s="144">
        <f>IF(CL42&lt;CP10,'cap.7 - analisis riesgos'!$G$15,IF('Eval Factores de Riesgo'!CL42&lt;'Eval Factores de Riesgo'!CQ10,'cap.7 - analisis riesgos'!$G$16,IF('Eval Factores de Riesgo'!CL42&lt;'Eval Factores de Riesgo'!CS10,'cap.7 - analisis riesgos'!$G$17,IF('Eval Factores de Riesgo'!CL42&lt;'Eval Factores de Riesgo'!CT10,'cap.7 - analisis riesgos'!$G$18,'cap.7 - analisis riesgos'!$G$19))))</f>
        <v>2</v>
      </c>
      <c r="CZ42" s="144">
        <f>MAX(DA42:DP42)</f>
        <v>200</v>
      </c>
      <c r="DA42" s="144">
        <f>PRODUCT(DA36:DA41)</f>
        <v>1</v>
      </c>
      <c r="DB42" s="144">
        <f t="shared" ref="DB42:DP42" si="68">PRODUCT(DB36:DB41)</f>
        <v>6</v>
      </c>
      <c r="DC42" s="144">
        <f t="shared" si="68"/>
        <v>48</v>
      </c>
      <c r="DD42" s="144">
        <f t="shared" si="68"/>
        <v>1</v>
      </c>
      <c r="DE42" s="144">
        <f t="shared" si="68"/>
        <v>1</v>
      </c>
      <c r="DF42" s="144">
        <f t="shared" si="68"/>
        <v>1</v>
      </c>
      <c r="DG42" s="144">
        <f t="shared" si="68"/>
        <v>200</v>
      </c>
      <c r="DH42" s="144">
        <f t="shared" si="68"/>
        <v>2</v>
      </c>
      <c r="DI42" s="144">
        <f t="shared" si="68"/>
        <v>1</v>
      </c>
      <c r="DJ42" s="144">
        <f t="shared" si="68"/>
        <v>2</v>
      </c>
      <c r="DK42" s="144">
        <f t="shared" si="68"/>
        <v>24</v>
      </c>
      <c r="DL42" s="144">
        <f t="shared" si="68"/>
        <v>2</v>
      </c>
      <c r="DM42" s="144">
        <f t="shared" si="68"/>
        <v>1</v>
      </c>
      <c r="DN42" s="144">
        <f t="shared" si="68"/>
        <v>1</v>
      </c>
      <c r="DO42" s="144">
        <f t="shared" si="68"/>
        <v>1</v>
      </c>
      <c r="DP42" s="144">
        <f t="shared" si="68"/>
        <v>1</v>
      </c>
    </row>
    <row r="43" spans="2:122" s="144" customFormat="1" x14ac:dyDescent="0.25">
      <c r="C43" s="147"/>
      <c r="AN43" s="134"/>
      <c r="AP43" s="134"/>
      <c r="AR43" s="134"/>
      <c r="AT43" s="134"/>
      <c r="AV43" s="134"/>
      <c r="AX43" s="134"/>
      <c r="AZ43" s="134"/>
      <c r="BB43" s="134"/>
      <c r="BD43" s="134"/>
      <c r="BF43" s="134"/>
      <c r="BH43" s="134"/>
      <c r="BJ43" s="134"/>
      <c r="BL43" s="134"/>
      <c r="BN43" s="134"/>
      <c r="BP43" s="134"/>
      <c r="BR43" s="134"/>
      <c r="BT43" s="134"/>
      <c r="CL43" s="150"/>
      <c r="DA43" s="144">
        <f>$CZ$42-DA42</f>
        <v>199</v>
      </c>
      <c r="DB43" s="144">
        <f t="shared" ref="DB43:DP43" si="69">$CZ$42-DB42</f>
        <v>194</v>
      </c>
      <c r="DC43" s="144">
        <f t="shared" si="69"/>
        <v>152</v>
      </c>
      <c r="DD43" s="144">
        <f t="shared" si="69"/>
        <v>199</v>
      </c>
      <c r="DE43" s="144">
        <f t="shared" si="69"/>
        <v>199</v>
      </c>
      <c r="DF43" s="144">
        <f t="shared" si="69"/>
        <v>199</v>
      </c>
      <c r="DG43" s="144">
        <f t="shared" si="69"/>
        <v>0</v>
      </c>
      <c r="DH43" s="144">
        <f t="shared" si="69"/>
        <v>198</v>
      </c>
      <c r="DI43" s="144">
        <f t="shared" si="69"/>
        <v>199</v>
      </c>
      <c r="DJ43" s="144">
        <f t="shared" si="69"/>
        <v>198</v>
      </c>
      <c r="DK43" s="144">
        <f t="shared" si="69"/>
        <v>176</v>
      </c>
      <c r="DL43" s="144">
        <f t="shared" si="69"/>
        <v>198</v>
      </c>
      <c r="DM43" s="144">
        <f t="shared" si="69"/>
        <v>199</v>
      </c>
      <c r="DN43" s="144">
        <f t="shared" si="69"/>
        <v>199</v>
      </c>
      <c r="DO43" s="144">
        <f t="shared" si="69"/>
        <v>199</v>
      </c>
      <c r="DP43" s="144">
        <f t="shared" si="69"/>
        <v>199</v>
      </c>
      <c r="DR43" s="144">
        <f>IF(DA43=0,DA35,IF(DB43=0,DB35,IF(DC43=0,DC35,IF(DD43=0,DD35,IF(DE43=0,DE35,IF(DF43=0,DF35,IF(DG43=0,DG35,IF(DH43=0,DH35,IF(DI43=0,DI35,IF(DJ43=0,DJ35,IF(DK43=0,DK35,IF(DL43=0,DL35,IF(DM43=0,DM35,IF(DN43=0,DN35,IF(DO43=0,DO35,DP35)))))))))))))))</f>
        <v>12</v>
      </c>
    </row>
    <row r="44" spans="2:122" ht="15.75" x14ac:dyDescent="0.25">
      <c r="C44" s="153" t="s">
        <v>27</v>
      </c>
      <c r="D44" s="136" t="s">
        <v>596</v>
      </c>
      <c r="E44" s="136"/>
      <c r="F44" s="136" t="s">
        <v>595</v>
      </c>
      <c r="G44" s="136"/>
      <c r="H44" s="136" t="s">
        <v>594</v>
      </c>
      <c r="J44" s="152" t="s">
        <v>598</v>
      </c>
      <c r="L44" s="151" t="s">
        <v>593</v>
      </c>
      <c r="P44" s="137" t="s">
        <v>579</v>
      </c>
      <c r="R44" s="137" t="s">
        <v>580</v>
      </c>
      <c r="T44" s="137" t="s">
        <v>580</v>
      </c>
      <c r="V44" s="137" t="s">
        <v>580</v>
      </c>
      <c r="X44" s="137" t="s">
        <v>583</v>
      </c>
      <c r="Z44" s="137" t="s">
        <v>586</v>
      </c>
      <c r="AB44" s="137" t="s">
        <v>587</v>
      </c>
      <c r="AN44" s="134">
        <f t="shared" si="6"/>
        <v>0</v>
      </c>
      <c r="AP44" s="134">
        <f t="shared" si="7"/>
        <v>0</v>
      </c>
      <c r="AR44" s="134">
        <f t="shared" si="1"/>
        <v>0</v>
      </c>
      <c r="AT44" s="134">
        <f t="shared" si="1"/>
        <v>0</v>
      </c>
      <c r="AV44" s="134">
        <f t="shared" si="1"/>
        <v>0</v>
      </c>
      <c r="AX44" s="134">
        <f t="shared" si="1"/>
        <v>0</v>
      </c>
      <c r="AZ44" s="134">
        <f t="shared" si="2"/>
        <v>0</v>
      </c>
      <c r="BB44" s="134">
        <f t="shared" si="2"/>
        <v>0</v>
      </c>
      <c r="BD44" s="134">
        <f t="shared" si="2"/>
        <v>0</v>
      </c>
      <c r="BF44" s="134">
        <f t="shared" si="2"/>
        <v>0</v>
      </c>
      <c r="BH44" s="134">
        <f t="shared" si="3"/>
        <v>0</v>
      </c>
      <c r="BJ44" s="134">
        <f t="shared" si="3"/>
        <v>0</v>
      </c>
      <c r="BL44" s="134">
        <f t="shared" si="3"/>
        <v>0</v>
      </c>
      <c r="BN44" s="134">
        <f t="shared" si="3"/>
        <v>0</v>
      </c>
      <c r="BP44" s="134">
        <f t="shared" si="4"/>
        <v>0</v>
      </c>
      <c r="BR44" s="134">
        <f t="shared" si="4"/>
        <v>0</v>
      </c>
      <c r="BT44" s="134">
        <f t="shared" si="4"/>
        <v>0</v>
      </c>
      <c r="CL44" s="138" t="s">
        <v>321</v>
      </c>
      <c r="CX44" s="144"/>
      <c r="CY44" s="144"/>
      <c r="CZ44" s="144"/>
      <c r="DA44" s="143">
        <f>IFERROR(VALUE(MID(D44,1,2)),"")</f>
        <v>1</v>
      </c>
      <c r="DB44" s="143">
        <f>IFERROR(VALUE(MID(F44,1,2)),"")</f>
        <v>2</v>
      </c>
      <c r="DC44" s="143">
        <f>IFERROR(VALUE(MID(H44,1,2)),"")</f>
        <v>3</v>
      </c>
      <c r="DD44" s="143">
        <f>IFERROR(VALUE(MID(J44,1,2)),"")</f>
        <v>8</v>
      </c>
      <c r="DE44" s="143">
        <f>IFERROR(VALUE(MID(L44,1,2)),"")</f>
        <v>9</v>
      </c>
      <c r="DF44" s="143" t="str">
        <f>IFERROR(VALUE(MID(N44,1,2)),"")</f>
        <v/>
      </c>
      <c r="DG44" s="143">
        <f>IFERROR(VALUE(MID(P44,1,2)),"")</f>
        <v>11</v>
      </c>
      <c r="DH44" s="143">
        <f>IFERROR(VALUE(MID(R44,1,2)),"")</f>
        <v>12</v>
      </c>
      <c r="DI44" s="143">
        <f>IFERROR(VALUE(MID(T44,1,2)),"")</f>
        <v>12</v>
      </c>
      <c r="DJ44" s="143">
        <f>IFERROR(VALUE(MID(V44,1,2)),"")</f>
        <v>12</v>
      </c>
      <c r="DK44" s="143">
        <f>IFERROR(VALUE(MID(X44,1,2)),"")</f>
        <v>14</v>
      </c>
      <c r="DL44" s="143">
        <f>IFERROR(VALUE(MID(Z44,1,2)),"")</f>
        <v>15</v>
      </c>
      <c r="DM44" s="143">
        <f>IFERROR(VALUE(MID(AB44,1,2)),"")</f>
        <v>16</v>
      </c>
      <c r="DN44" s="143" t="str">
        <f>IFERROR(VALUE(MID(AD44,1,2)),"")</f>
        <v/>
      </c>
      <c r="DO44" s="143" t="str">
        <f>IFERROR(VALUE(MID(AF44,1,2)),"")</f>
        <v/>
      </c>
      <c r="DP44" s="143" t="str">
        <f>IFERROR(VALUE(MID(AH44,1,2)),"")</f>
        <v/>
      </c>
      <c r="DQ44" s="144"/>
    </row>
    <row r="45" spans="2:122" x14ac:dyDescent="0.25">
      <c r="B45" s="134">
        <v>1</v>
      </c>
      <c r="C45" s="135" t="s">
        <v>269</v>
      </c>
      <c r="D45" s="134" t="str">
        <f>Contexto!C14</f>
        <v>3 Algo Relevante</v>
      </c>
      <c r="E45" s="134">
        <v>4</v>
      </c>
      <c r="F45" s="134" t="str">
        <f>Contexto!C23</f>
        <v>4 Muy Relevante</v>
      </c>
      <c r="G45" s="134">
        <v>1</v>
      </c>
      <c r="H45" s="134" t="str">
        <f>Contexto!C27</f>
        <v>4 Muy Relevante</v>
      </c>
      <c r="I45" s="134">
        <v>4</v>
      </c>
      <c r="J45" s="134" t="str">
        <f>'Descripcion Actividades'!C40</f>
        <v>4 Las actividades de transporte son inherentes al cumplimiento del objeto contractual.</v>
      </c>
      <c r="K45" s="134">
        <v>4</v>
      </c>
      <c r="L45" s="145" t="str">
        <f>'Descripcion Actividades'!C51</f>
        <v>1 El contrato no contempla actividades de manipulación y/o suministro de alimentos.</v>
      </c>
      <c r="M45" s="145">
        <v>6</v>
      </c>
      <c r="N45" s="146" t="str">
        <f>'Descripcion Actividades'!C55</f>
        <v>1 El contrato no contempla actividades de manipulación y/o suministro de medicamentos.</v>
      </c>
      <c r="O45" s="146">
        <v>6</v>
      </c>
      <c r="P45" s="134" t="str">
        <f>'Descripcion Actividades'!C63</f>
        <v>1 Todos los materiales e insumos requeridos son de amplia disponibilidad y accesibilidad.</v>
      </c>
      <c r="Q45" s="134">
        <v>6</v>
      </c>
      <c r="R45" s="134" t="str">
        <f>'Descripcion Actividades'!C81</f>
        <v>1 El suministro de agua no es relevante para la ejecución del contrato.</v>
      </c>
      <c r="S45" s="134">
        <v>4</v>
      </c>
      <c r="T45" s="145" t="str">
        <f>'Descripcion Actividades'!C93</f>
        <v>4 Se requiere el almacenamiento de un alto volumen de datos, es relevante para la ejecución del contrato y se realiza con un tercero.</v>
      </c>
      <c r="U45" s="145">
        <v>4</v>
      </c>
      <c r="V45" s="134" t="str">
        <f>'Descripcion Actividades'!C105</f>
        <v>1 No se requieren disposición de residuos o escombros.</v>
      </c>
      <c r="W45" s="134">
        <v>7</v>
      </c>
      <c r="X45" s="134" t="str">
        <f>'Descripcion Actividades'!C118</f>
        <v>2 Las máquinas, equipos y vehículos son de uso común y su disponibilidad es amplia.</v>
      </c>
      <c r="Y45" s="134">
        <v>6</v>
      </c>
      <c r="Z45" s="134" t="str">
        <f>'Descripcion Actividades'!C123</f>
        <v>4 El contrato contempla una cantidad apreciable de actividades de campo especializadas y/o complejas.</v>
      </c>
      <c r="AA45" s="134">
        <v>4</v>
      </c>
      <c r="AB45" s="134" t="str">
        <f>'Descripcion Actividades'!C131</f>
        <v>1 El contrato no contempla actividades de obra civil.</v>
      </c>
      <c r="AC45" s="134">
        <v>4</v>
      </c>
      <c r="AM45" s="134" t="str">
        <f t="shared" si="21"/>
        <v>3</v>
      </c>
      <c r="AN45" s="134">
        <f t="shared" si="6"/>
        <v>4</v>
      </c>
      <c r="AO45" s="134" t="str">
        <f t="shared" si="22"/>
        <v>4</v>
      </c>
      <c r="AP45" s="134">
        <f t="shared" si="7"/>
        <v>1</v>
      </c>
      <c r="AQ45" s="134" t="str">
        <f>MID(H45,1,1)</f>
        <v>4</v>
      </c>
      <c r="AR45" s="134">
        <f t="shared" si="1"/>
        <v>4</v>
      </c>
      <c r="AS45" s="134" t="str">
        <f>MID(J45,1,1)</f>
        <v>4</v>
      </c>
      <c r="AT45" s="134">
        <f t="shared" si="1"/>
        <v>4</v>
      </c>
      <c r="AU45" s="145" t="str">
        <f>MID(L45,1,1)</f>
        <v>1</v>
      </c>
      <c r="AV45" s="134">
        <f t="shared" si="1"/>
        <v>6</v>
      </c>
      <c r="AW45" s="146" t="str">
        <f t="shared" ref="AW45:AW46" si="70">MID(N45,1,1)</f>
        <v>1</v>
      </c>
      <c r="AX45" s="134">
        <f t="shared" si="1"/>
        <v>6</v>
      </c>
      <c r="AY45" s="134" t="str">
        <f>MID(P45,1,1)</f>
        <v>1</v>
      </c>
      <c r="AZ45" s="134">
        <f t="shared" si="2"/>
        <v>6</v>
      </c>
      <c r="BA45" s="134" t="str">
        <f t="shared" ref="BA45:BA50" si="71">MID(R45,1,1)</f>
        <v>1</v>
      </c>
      <c r="BB45" s="134">
        <f t="shared" si="2"/>
        <v>4</v>
      </c>
      <c r="BC45" s="134" t="str">
        <f>MID(T45,1,1)</f>
        <v>4</v>
      </c>
      <c r="BD45" s="134">
        <f t="shared" si="2"/>
        <v>4</v>
      </c>
      <c r="BE45" s="134" t="str">
        <f>MID(V45,1,1)</f>
        <v>1</v>
      </c>
      <c r="BF45" s="134">
        <f t="shared" si="2"/>
        <v>7</v>
      </c>
      <c r="BG45" s="134" t="str">
        <f>MID(X45,1,1)</f>
        <v>2</v>
      </c>
      <c r="BH45" s="134">
        <f t="shared" si="3"/>
        <v>6</v>
      </c>
      <c r="BI45" s="134" t="str">
        <f>MID(Z45,1,1)</f>
        <v>4</v>
      </c>
      <c r="BJ45" s="134">
        <f t="shared" si="3"/>
        <v>4</v>
      </c>
      <c r="BK45" s="134" t="str">
        <f t="shared" ref="BK45" si="72">MID(AB45,1,1)</f>
        <v>1</v>
      </c>
      <c r="BL45" s="134">
        <f t="shared" si="3"/>
        <v>4</v>
      </c>
      <c r="BN45" s="134">
        <f t="shared" si="3"/>
        <v>0</v>
      </c>
      <c r="BP45" s="134">
        <f t="shared" si="4"/>
        <v>0</v>
      </c>
      <c r="BR45" s="134">
        <f t="shared" si="4"/>
        <v>0</v>
      </c>
      <c r="BT45" s="134">
        <f t="shared" si="4"/>
        <v>0</v>
      </c>
      <c r="BV45" s="134">
        <f t="shared" si="14"/>
        <v>3</v>
      </c>
      <c r="BW45" s="134">
        <f>VALUE(AO45)</f>
        <v>4</v>
      </c>
      <c r="BY45" s="134">
        <f>VALUE(AS45)</f>
        <v>4</v>
      </c>
      <c r="BZ45" s="145">
        <f>VALUE(AU45)</f>
        <v>1</v>
      </c>
      <c r="CA45" s="146">
        <f t="shared" ref="CA45:CA46" si="73">VALUE(AW45)</f>
        <v>1</v>
      </c>
      <c r="CB45" s="134">
        <f>VALUE(AY45)</f>
        <v>1</v>
      </c>
      <c r="CC45" s="134">
        <f t="shared" ref="CC45:CC50" si="74">VALUE(BA45)</f>
        <v>1</v>
      </c>
      <c r="CD45" s="134">
        <f>VALUE(BC45)</f>
        <v>4</v>
      </c>
      <c r="CE45" s="134">
        <f>VALUE(BE45)</f>
        <v>1</v>
      </c>
      <c r="CF45" s="134">
        <f>VALUE(BG45)</f>
        <v>2</v>
      </c>
      <c r="CG45" s="134">
        <f>VALUE(BI45)</f>
        <v>4</v>
      </c>
      <c r="CH45" s="134">
        <f t="shared" ref="CH45" si="75">VALUE(BK45)</f>
        <v>1</v>
      </c>
      <c r="CL45" s="142"/>
      <c r="CX45" s="144"/>
      <c r="CY45" s="144"/>
      <c r="CZ45" s="144"/>
      <c r="DA45" s="134">
        <f>IF(AN45=1,AM45,1)*IF(AN46=1,AM46,1)*IF(AN47=1,AM47,1)*IF(AN48=1,AM48,1)*IF(AN49=1,AM49,1)*IF(AN50=1,AM50,1)*IF(AN51=1,AM51,1)</f>
        <v>1</v>
      </c>
      <c r="DB45" s="134">
        <f>IF(AP45=1,AO45,1)*IF(AP46=1,AO46,1)*IF(AP47=1,AO47,1)*IF(AP48=1,AO48,1)*IF(AP49=1,AO49,1)*IF(BV50=1,AN50,1)*IF(BV51=1,AN51,1)</f>
        <v>4</v>
      </c>
      <c r="DC45" s="134">
        <f>IF(AR45=1,AQ45,1)*IF(AR46=1,AQ46,1)*IF(AR47=1,AQ47,1)*IF(AR48=1,AQ48,1)*IF(AR49=1,AQ49,1)*IF(AR50=1,AQ50,1)*IF(AR51=1,AQ51,1)</f>
        <v>3</v>
      </c>
      <c r="DD45" s="134">
        <f>IF(AT45=1,AS45,1)*IF(AT46=1,AS46,1)*IF(AT47=1,AS47,1)*IF(AT48=1,AS48,1)*IF(AT49=1,AS49,1)*IF(AT50=1,AS50,1)*IF(AT51=1,AS51,1)</f>
        <v>1</v>
      </c>
      <c r="DE45" s="134">
        <f>IF(AV45=1,AU45,1)*IF(AV46=1,AU46,1)*IF(AV47=1,AU47,1)*IF(AV48=1,AU48,1)*IF(AV49=1,AU49,1)*IF(AV50=1,AU50,1)*IF(AV51=1,AU51,1)</f>
        <v>1</v>
      </c>
      <c r="DF45" s="134">
        <f>IF(AX45=1,AW45,1)*IF(AX46=1,AW46,1)*IF(AX47=1,AW47,1)*IF(AX48=1,AW48,1)*IF(AX49=1,AW49,1)*IF(AX50=1,AW50,1)*IF(AX51=1,AW51,1)</f>
        <v>1</v>
      </c>
      <c r="DG45" s="134">
        <f>IF(AZ45=1,AY45,1)*IF(AZ46=1,AY46,1)*IF(AZ47=1,AY47,1)*IF(AZ48=1,AY48,1)*IF(AZ49=1,AY49,1)*IF(AZ50=1,AY50,1)*IF(AZ51=1,AY51,1)</f>
        <v>1</v>
      </c>
      <c r="DH45" s="134">
        <f>IF(BB45=1,BA45,1)*IF(BB46=1,BA46,1)*IF(BB47=1,BA47,1)*IF(BB48=1,BA48,1)*IF(BB49=1,BA49,1)*IF(BB50=1,BA50,1)*IF(BB51=1,BA51,1)</f>
        <v>1</v>
      </c>
      <c r="DI45" s="134">
        <f>IF(BD45=1,BC45,1)*IF(BD46=1,BC46,1)*IF(BD47=1,BC47,1)*IF(BD48=1,BC48,1)*IF(BD49=1,BC49,1)*IF(BD50=1,BC50,1)*IF(BD51=1,BC51,1)</f>
        <v>1</v>
      </c>
      <c r="DJ45" s="134">
        <f>IF(BF45=1,BE45,1)*IF(BF46=1,BE46,1)*IF(BF47=1,BE47,1)*IF(BF48=1,BE48,1)*IF(BF49=1,BE49,1)*IF(BF50=1,BE50,1)*IF(BF51=1,BE51,1)</f>
        <v>1</v>
      </c>
      <c r="DK45" s="134">
        <f>IF(BH45=1,BG45,1)*IF(BH46=1,BG46,1)*IF(BH47=1,BG47,1)*IF(BH48=1,BG48,1)*IF(BH49=1,BG49,1)*IF(BH50=1,BG50,1)*IF(BH51=1,BG51,1)</f>
        <v>1</v>
      </c>
      <c r="DL45" s="134">
        <f>IF(BJ45=1,BI45,1)*IF(BJ46=1,BI46,1)*IF(BJ47=1,BI47,1)*IF(BJ48=1,BI48,1)*IF(BJ49=1,BI49,1)*IF(BJ50=1,BI50,1)*IF(BJ51=1,BI51,1)</f>
        <v>1</v>
      </c>
      <c r="DM45" s="134">
        <f>IF(BL45=1,BK45,1)*IF(BL46=1,BK46,1)*IF(BL47=1,BK47,1)*IF(BL48=1,BK48,1)*IF(BL49=1,BK49,1)*IF(BL50=1,BK50,1)*IF(BL51=1,BK51,1)</f>
        <v>1</v>
      </c>
      <c r="DN45" s="134">
        <f>IF(BN45=1,BM45,1)*IF(BN46=1,BM46,1)*IF(BN47=1,BM47,1)*IF(BN48=1,BM48,1)*IF(BN49=1,BM49,1)*IF(BN50=1,BM50,1)*IF(BN51=1,BM51,1)</f>
        <v>1</v>
      </c>
      <c r="DO45" s="134">
        <f>IF(BP45=1,BO45,1)*IF(BP46=1,BO46,1)*IF(BP47=1,BO47,1)*IF(BP48=1,BO48,1)*IF(BP49=1,BO49,1)*IF(BP50=1,BO50,1)*IF(BP51=1,BO51,1)</f>
        <v>1</v>
      </c>
      <c r="DP45" s="134">
        <f>IF(BR45=1,BQ45,1)*IF(BR46=1,BQ46,1)*IF(BR47=1,BQ47,1)*IF(BR48=1,BQ48,1)*IF(BR49=1,BQ49,1)*IF(BR50=1,BQ50,1)*IF(BR51=1,BQ51,1)</f>
        <v>1</v>
      </c>
      <c r="DQ45" s="144">
        <f t="shared" ref="DQ45:DQ51" si="76">PRODUCT(DA45:DP45)</f>
        <v>12</v>
      </c>
      <c r="DR45" s="134">
        <f>IF((DQ45-MAX(DQ45:DQ51))=0,B45,IF((DQ46-MAX(DQ45:DQ51))=0,B46,IF((DQ47-MAX(DQ45:DQ51))=0,B47,IF((DQ48-MAX(DQ45:DQ51))=0,B48,IF((DQ49-MAX(DQ45:DQ51))=0,B49,IF((DQ50-MAX(DQ45:DQ51))=0,B50,B51))))))</f>
        <v>4</v>
      </c>
    </row>
    <row r="46" spans="2:122" x14ac:dyDescent="0.25">
      <c r="B46" s="134">
        <v>2</v>
      </c>
      <c r="C46" s="135" t="s">
        <v>270</v>
      </c>
      <c r="D46" s="134" t="str">
        <f>Contexto!C16</f>
        <v>2 Las condciones climáticas son variables en rangos medios, sin embargo se pueden presentar ocasionalmente condiciones climáticas extremas.</v>
      </c>
      <c r="E46" s="134">
        <v>4</v>
      </c>
      <c r="F46" s="134" t="str">
        <f>Contexto!C25</f>
        <v>3 Las eventos como inundaciones, movimientos de masas o incendios forestales son frecuentes.</v>
      </c>
      <c r="G46" s="134">
        <v>3</v>
      </c>
      <c r="H46" s="134" t="str">
        <f>Contexto!C29</f>
        <v>3 Existen a lo sumo dos alternativas de vias de acceso al lugar de ejecución del contrato.</v>
      </c>
      <c r="I46" s="134">
        <v>4</v>
      </c>
      <c r="J46" s="134" t="str">
        <f>'Descripcion Actividades'!C42</f>
        <v>3 Las actividades de transporte son frecuentes y periódicas</v>
      </c>
      <c r="K46" s="134">
        <v>4</v>
      </c>
      <c r="L46" s="134" t="str">
        <f>'Descripcion Actividades'!C53</f>
        <v>1 Nada Relevante</v>
      </c>
      <c r="M46" s="134">
        <v>6</v>
      </c>
      <c r="N46" s="146" t="str">
        <f>'Descripcion Actividades'!C53</f>
        <v>1 Nada Relevante</v>
      </c>
      <c r="O46" s="146">
        <v>6</v>
      </c>
      <c r="P46" s="134" t="str">
        <f>'Descripcion Actividades'!C65</f>
        <v>1 Hay múltiples fuentes para la consecusión de los materiales e insumos.</v>
      </c>
      <c r="Q46" s="134">
        <v>6</v>
      </c>
      <c r="R46" s="134" t="str">
        <f>'Descripcion Actividades'!C83</f>
        <v>2 Se cuenta con red de suministro de energía eléctrica y está disponible todo el tiempo.</v>
      </c>
      <c r="S46" s="134">
        <v>4</v>
      </c>
      <c r="T46" s="134" t="str">
        <f>'Descripcion Actividades'!C95</f>
        <v>1 No se requiere servicio de sonido en el contrato</v>
      </c>
      <c r="U46" s="134">
        <v>4</v>
      </c>
      <c r="Z46" s="134" t="str">
        <f>'Descripcion Actividades'!C125</f>
        <v>2 El lugar para la ejecución del contrato es de fácil acceso y pero los tiempos para acceder pueden variar.</v>
      </c>
      <c r="AA46" s="134">
        <v>6</v>
      </c>
      <c r="AB46" s="134" t="str">
        <f>'Descripcion Actividades'!C133</f>
        <v>1 Se contempla un único frente de obra.</v>
      </c>
      <c r="AC46" s="134">
        <v>6</v>
      </c>
      <c r="AM46" s="134" t="str">
        <f t="shared" si="21"/>
        <v>2</v>
      </c>
      <c r="AN46" s="134">
        <f t="shared" si="6"/>
        <v>4</v>
      </c>
      <c r="AO46" s="134" t="str">
        <f t="shared" si="22"/>
        <v>3</v>
      </c>
      <c r="AP46" s="134">
        <f t="shared" si="7"/>
        <v>3</v>
      </c>
      <c r="AQ46" s="134" t="str">
        <f>MID(H46,1,1)</f>
        <v>3</v>
      </c>
      <c r="AR46" s="134">
        <f t="shared" si="1"/>
        <v>4</v>
      </c>
      <c r="AS46" s="134" t="str">
        <f>MID(J46,1,1)</f>
        <v>3</v>
      </c>
      <c r="AT46" s="134">
        <f t="shared" si="1"/>
        <v>4</v>
      </c>
      <c r="AU46" s="145" t="str">
        <f>MID(L46,1,1)</f>
        <v>1</v>
      </c>
      <c r="AV46" s="134">
        <f t="shared" si="1"/>
        <v>6</v>
      </c>
      <c r="AW46" s="146" t="str">
        <f t="shared" si="70"/>
        <v>1</v>
      </c>
      <c r="AX46" s="134">
        <f t="shared" si="1"/>
        <v>6</v>
      </c>
      <c r="AY46" s="134" t="str">
        <f>MID(P46,1,1)</f>
        <v>1</v>
      </c>
      <c r="AZ46" s="134">
        <f t="shared" si="2"/>
        <v>6</v>
      </c>
      <c r="BA46" s="134" t="str">
        <f t="shared" si="71"/>
        <v>2</v>
      </c>
      <c r="BB46" s="134">
        <f t="shared" si="2"/>
        <v>4</v>
      </c>
      <c r="BC46" s="134" t="str">
        <f t="shared" ref="BC46:BC49" si="77">MID(T46,1,1)</f>
        <v>1</v>
      </c>
      <c r="BD46" s="134">
        <f t="shared" si="2"/>
        <v>4</v>
      </c>
      <c r="BF46" s="134">
        <f t="shared" si="2"/>
        <v>0</v>
      </c>
      <c r="BH46" s="134">
        <f t="shared" si="3"/>
        <v>0</v>
      </c>
      <c r="BI46" s="134" t="str">
        <f>MID(Z46,1,1)</f>
        <v>2</v>
      </c>
      <c r="BJ46" s="134">
        <f t="shared" si="3"/>
        <v>6</v>
      </c>
      <c r="BK46" s="134" t="str">
        <f>MID(AB46,1,1)</f>
        <v>1</v>
      </c>
      <c r="BL46" s="134">
        <f t="shared" si="3"/>
        <v>6</v>
      </c>
      <c r="BN46" s="134">
        <f t="shared" si="3"/>
        <v>0</v>
      </c>
      <c r="BP46" s="134">
        <f t="shared" si="4"/>
        <v>0</v>
      </c>
      <c r="BR46" s="134">
        <f t="shared" si="4"/>
        <v>0</v>
      </c>
      <c r="BT46" s="134">
        <f t="shared" si="4"/>
        <v>0</v>
      </c>
      <c r="BV46" s="134">
        <f t="shared" si="14"/>
        <v>2</v>
      </c>
      <c r="BW46" s="134">
        <f>VALUE(AO46)</f>
        <v>3</v>
      </c>
      <c r="BX46" s="134">
        <f>VALUE(AQ46)</f>
        <v>3</v>
      </c>
      <c r="BY46" s="134">
        <f>VALUE(AS46)</f>
        <v>3</v>
      </c>
      <c r="BZ46" s="145">
        <f>VALUE(AU46)</f>
        <v>1</v>
      </c>
      <c r="CA46" s="146">
        <f t="shared" si="73"/>
        <v>1</v>
      </c>
      <c r="CB46" s="134">
        <f>VALUE(AY46)</f>
        <v>1</v>
      </c>
      <c r="CC46" s="134">
        <f t="shared" si="74"/>
        <v>2</v>
      </c>
      <c r="CD46" s="134">
        <f t="shared" ref="CD46:CD49" si="78">VALUE(BC46)</f>
        <v>1</v>
      </c>
      <c r="CG46" s="134">
        <f>VALUE(BI46)</f>
        <v>2</v>
      </c>
      <c r="CH46" s="134">
        <f>VALUE(BK46)</f>
        <v>1</v>
      </c>
      <c r="CL46" s="142"/>
      <c r="CX46" s="144"/>
      <c r="CY46" s="144"/>
      <c r="CZ46" s="144"/>
      <c r="DA46" s="134">
        <f>IF(AN45=2,AM45,1)*IF(AN46=2,AM46,1)*IF(AN47=2,AM47,1)*IF(AN48=2,AM48,1)*IF(AN49=2,AM49,1)*IF(AN50=2,AM50,1)*IF(AN51=2,AM51,1)</f>
        <v>1</v>
      </c>
      <c r="DB46" s="134">
        <f>IF(AP45=2,AO45,1)*IF(AP46=2,AO46,1)*IF(AP47=2,AO47,1)*IF(AP48=2,AO48,1)*IF(AP49=2,AO49,1)*IF(BV50=2,AN50,1)*IF(BV51=2,AN51,1)</f>
        <v>1</v>
      </c>
      <c r="DC46" s="134">
        <f>IF(AR45=2,AQ45,1)*IF(AR46=2,AQ46,1)*IF(AR47=2,AQ47,1)*IF(AR48=2,AQ48,1)*IF(AR49=2,AQ49,1)*IF(AR50=2,AQ50,1)*IF(AR51=2,AQ51,1)</f>
        <v>1</v>
      </c>
      <c r="DD46" s="134">
        <f>IF(AT45=2,AS45,1)*IF(AT46=2,AS46,1)*IF(AT47=2,AS47,1)*IF(AT48=2,AS48,1)*IF(AT49=2,AS49,1)*IF(AT50=2,AS50,1)*IF(AT51=2,AS51,1)</f>
        <v>1</v>
      </c>
      <c r="DE46" s="134">
        <f>IF(AV45=2,AU45,1)*IF(AV46=2,AU46,1)*IF(AV47=2,AU47,1)*IF(AV48=2,AU48,1)*IF(AV49=2,AU49,1)*IF(AV50=2,AU50,1)*IF(AV51=2,AU51,1)</f>
        <v>1</v>
      </c>
      <c r="DF46" s="134">
        <f>IF(AX45=2,AW45,1)*IF(AX46=2,AW46,1)*IF(AX47=2,AW47,1)*IF(AX48=2,AW48,1)*IF(AX49=2,AW49,1)*IF(AX50=2,AW50,1)*IF(AX51=2,AW51,1)</f>
        <v>1</v>
      </c>
      <c r="DG46" s="134">
        <f>IF(AZ45=2,AY45,1)*IF(AZ46=2,AY46,1)*IF(AZ47=2,AY47,1)*IF(AZ48=2,AY48,1)*IF(AZ49=2,AY49,1)*IF(AZ50=2,AY50,1)*IF(AZ51=2,AY51,1)</f>
        <v>1</v>
      </c>
      <c r="DH46" s="134">
        <f>IF(BB45=2,BA45,1)*IF(BB46=2,BA46,1)*IF(BB47=2,BA47,1)*IF(BB48=2,BA48,1)*IF(BB49=2,BA49,1)*IF(BB50=2,BA50,1)*IF(BB51=2,BA51,1)</f>
        <v>1</v>
      </c>
      <c r="DI46" s="134">
        <f>IF(BD45=2,BC45,1)*IF(BD46=2,BC46,1)*IF(BD47=2,BC47,1)*IF(BD48=2,BC48,1)*IF(BD49=2,BC49,1)*IF(BD50=2,BC50,1)*IF(BD51=2,BC51,1)</f>
        <v>1</v>
      </c>
      <c r="DJ46" s="134">
        <f>IF(BF45=2,BE45,1)*IF(BF46=2,BE46,1)*IF(BF47=2,BE47,1)*IF(BF48=2,BE48,1)*IF(BF49=2,BE49,1)*IF(BF50=2,BE50,1)*IF(BF51=2,BE51,1)</f>
        <v>1</v>
      </c>
      <c r="DK46" s="134">
        <f>IF(BH45=2,BG45,1)*IF(BH46=2,BG46,1)*IF(BH47=2,BG47,1)*IF(BH48=2,BG48,1)*IF(BH49=2,BG49,1)*IF(BH50=2,BG50,1)*IF(BH51=2,BG51,1)</f>
        <v>1</v>
      </c>
      <c r="DL46" s="134">
        <f>IF(BJ45=2,BI45,1)*IF(BJ46=2,BI46,1)*IF(BJ47=2,BI47,1)*IF(BJ48=2,BI48,1)*IF(BJ49=2,BI49,1)*IF(BJ50=2,BI50,1)*IF(BJ51=2,BI51,1)</f>
        <v>1</v>
      </c>
      <c r="DM46" s="134">
        <f>IF(BL45=2,BK45,1)*IF(BL46=2,BK46,1)*IF(BL47=2,BK47,1)*IF(BL48=2,BK48,1)*IF(BL49=2,BK49,1)*IF(BL50=2,BK50,1)*IF(BL51=2,BK51,1)</f>
        <v>1</v>
      </c>
      <c r="DN46" s="134">
        <f>IF(BN45=2,BM45,1)*IF(BN46=2,BM46,1)*IF(BN47=2,BM47,1)*IF(BN48=2,BM48,1)*IF(BN49=2,BM49,1)*IF(BN50=2,BM50,1)*IF(BN51=2,BM51,1)</f>
        <v>1</v>
      </c>
      <c r="DO46" s="134">
        <f>IF(BP45=2,BO45,1)*IF(BP46=2,BO46,1)*IF(BP47=2,BO47,1)*IF(BP48=2,BO48,1)*IF(BP49=2,BO49,1)*IF(BP50=2,BO50,1)*IF(BP51=2,BO51,1)</f>
        <v>1</v>
      </c>
      <c r="DP46" s="134">
        <f>IF(BR45=2,BQ45,1)*IF(BR46=2,BQ46,1)*IF(BR47=2,BQ47,1)*IF(BR48=2,BQ48,1)*IF(BR49=2,BQ49,1)*IF(BR50=2,BQ50,1)*IF(BR51=2,BQ51,1)</f>
        <v>1</v>
      </c>
      <c r="DQ46" s="144">
        <f t="shared" si="76"/>
        <v>1</v>
      </c>
    </row>
    <row r="47" spans="2:122" x14ac:dyDescent="0.25">
      <c r="B47" s="134">
        <v>3</v>
      </c>
      <c r="C47" s="135" t="s">
        <v>271</v>
      </c>
      <c r="D47" s="134" t="str">
        <f>Contexto!C18</f>
        <v>1 Las condiciones de tormentas eléctricas no son relevantes para el contrato.</v>
      </c>
      <c r="E47" s="134">
        <v>4</v>
      </c>
      <c r="H47" s="134" t="str">
        <f>Contexto!C31</f>
        <v>4 Las vías presentan deterioro y el tráfico es voluminoso.</v>
      </c>
      <c r="I47" s="134">
        <v>4</v>
      </c>
      <c r="J47" s="134" t="str">
        <f>'Descripcion Actividades'!C44</f>
        <v>4 Es necesario contratar servicios exculsivos de transporte</v>
      </c>
      <c r="K47" s="134">
        <v>4</v>
      </c>
      <c r="P47" s="134" t="str">
        <f>'Descripcion Actividades'!C67</f>
        <v>1 No se requiere recorrer trayectos superiores a 5 kilómetros para el aprovisionamiento de materiales e insumos.</v>
      </c>
      <c r="Q47" s="134">
        <v>4</v>
      </c>
      <c r="R47" s="134" t="str">
        <f>'Descripcion Actividades'!C85</f>
        <v>1 El suministro de gas no es relevante para la ejecución del contrato.</v>
      </c>
      <c r="S47" s="134">
        <v>4</v>
      </c>
      <c r="T47" s="134" t="str">
        <f>'Descripcion Actividades'!C97</f>
        <v>1 No se requiere servicio de audiovisuales en el contrato</v>
      </c>
      <c r="U47" s="134">
        <v>4</v>
      </c>
      <c r="Z47" s="134" t="str">
        <f>'Descripcion Actividades'!C127</f>
        <v>3 La ejecución del contrato se hace en lugares dispersos en un mismo departamento.</v>
      </c>
      <c r="AA47" s="134">
        <v>6</v>
      </c>
      <c r="AB47" s="134" t="str">
        <f>'Descripcion Actividades'!C135</f>
        <v>2 El lugar para la ejecución del contrato es de fácil acceso y pero los tiempos para acceder pueden variar.</v>
      </c>
      <c r="AC47" s="134">
        <v>6</v>
      </c>
      <c r="AM47" s="134" t="str">
        <f t="shared" si="21"/>
        <v>1</v>
      </c>
      <c r="AN47" s="134">
        <f t="shared" si="6"/>
        <v>4</v>
      </c>
      <c r="AP47" s="134">
        <f t="shared" si="7"/>
        <v>0</v>
      </c>
      <c r="AQ47" s="134" t="str">
        <f>MID(H47,1,1)</f>
        <v>4</v>
      </c>
      <c r="AR47" s="134">
        <f t="shared" si="1"/>
        <v>4</v>
      </c>
      <c r="AS47" s="134" t="str">
        <f>MID(J47,1,1)</f>
        <v>4</v>
      </c>
      <c r="AT47" s="134">
        <f t="shared" si="1"/>
        <v>4</v>
      </c>
      <c r="AV47" s="134">
        <f t="shared" si="1"/>
        <v>0</v>
      </c>
      <c r="AX47" s="134">
        <f t="shared" si="1"/>
        <v>0</v>
      </c>
      <c r="AY47" s="134" t="str">
        <f>MID(P47,1,1)</f>
        <v>1</v>
      </c>
      <c r="AZ47" s="134">
        <f t="shared" si="2"/>
        <v>4</v>
      </c>
      <c r="BA47" s="134" t="str">
        <f t="shared" si="71"/>
        <v>1</v>
      </c>
      <c r="BB47" s="134">
        <f t="shared" si="2"/>
        <v>4</v>
      </c>
      <c r="BC47" s="134" t="str">
        <f t="shared" si="77"/>
        <v>1</v>
      </c>
      <c r="BD47" s="134">
        <f t="shared" si="2"/>
        <v>4</v>
      </c>
      <c r="BF47" s="134">
        <f t="shared" si="2"/>
        <v>0</v>
      </c>
      <c r="BH47" s="134">
        <f t="shared" si="3"/>
        <v>0</v>
      </c>
      <c r="BI47" s="134" t="str">
        <f>MID(Z47,1,1)</f>
        <v>3</v>
      </c>
      <c r="BJ47" s="134">
        <f t="shared" si="3"/>
        <v>6</v>
      </c>
      <c r="BK47" s="134" t="str">
        <f>MID(AB47,1,1)</f>
        <v>2</v>
      </c>
      <c r="BL47" s="134">
        <f t="shared" si="3"/>
        <v>6</v>
      </c>
      <c r="BN47" s="134">
        <f t="shared" si="3"/>
        <v>0</v>
      </c>
      <c r="BP47" s="134">
        <f t="shared" si="4"/>
        <v>0</v>
      </c>
      <c r="BR47" s="134">
        <f t="shared" si="4"/>
        <v>0</v>
      </c>
      <c r="BT47" s="134">
        <f t="shared" si="4"/>
        <v>0</v>
      </c>
      <c r="BV47" s="134">
        <f t="shared" si="14"/>
        <v>1</v>
      </c>
      <c r="BX47" s="134">
        <f>VALUE(AQ47)</f>
        <v>4</v>
      </c>
      <c r="BY47" s="134">
        <f>VALUE(AS47)</f>
        <v>4</v>
      </c>
      <c r="CB47" s="134">
        <f>VALUE(AY47)</f>
        <v>1</v>
      </c>
      <c r="CC47" s="134">
        <f t="shared" si="74"/>
        <v>1</v>
      </c>
      <c r="CD47" s="134">
        <f t="shared" si="78"/>
        <v>1</v>
      </c>
      <c r="CG47" s="134">
        <f>VALUE(BI47)</f>
        <v>3</v>
      </c>
      <c r="CH47" s="134">
        <f>VALUE(BK47)</f>
        <v>2</v>
      </c>
      <c r="CL47" s="142"/>
      <c r="CX47" s="144"/>
      <c r="CY47" s="144"/>
      <c r="CZ47" s="144"/>
      <c r="DA47" s="134">
        <f>IF(AN45=3,AM45,1)*IF(AN46=3,AM46,1)*IF(AN47=3,AM47,1)*IF(AN48=3,AM48,1)*IF(AN49=3,AM49,1)*IF(AN50=3,AM50,1)*IF(AN51=3,AM51,1)</f>
        <v>1</v>
      </c>
      <c r="DB47" s="134">
        <f>IF(AP45=3,AO45,1)*IF(AP46=3,AO46,1)*IF(AP47=3,AO47,1)*IF(AP48=3,AO48,1)*IF(AP49=3,AO49,1)*IF(BV50=3,AN50,1)*IF(BV51=3,AN51,1)</f>
        <v>3</v>
      </c>
      <c r="DC47" s="134">
        <f>IF(AR45=3,AQ45,1)*IF(AR46=3,AQ46,1)*IF(AR47=3,AQ47,1)*IF(AR48=3,AQ48,1)*IF(AR49=3,AQ49,1)*IF(AR50=3,AQ50,1)*IF(AR51=3,AQ51,1)</f>
        <v>1</v>
      </c>
      <c r="DD47" s="134">
        <f>IF(AT45=3,AS45,1)*IF(AT46=3,AS46,1)*IF(AT47=3,AS47,1)*IF(AT48=3,AS48,1)*IF(AT49=3,AS49,1)*IF(AT50=3,AS50,1)*IF(AT51=3,AS51,1)</f>
        <v>1</v>
      </c>
      <c r="DE47" s="134">
        <f>IF(AV45=3,AU45,1)*IF(AV46=3,AU46,1)*IF(AV47=3,AU47,1)*IF(AV48=3,AU48,1)*IF(AV49=3,AU49,1)*IF(AV50=3,AU50,1)*IF(AV51=3,AU51,1)</f>
        <v>1</v>
      </c>
      <c r="DF47" s="134">
        <f>IF(AX45=3,AW45,1)*IF(AX46=3,AW46,1)*IF(AX47=3,AW47,1)*IF(AX48=3,AW48,1)*IF(AX49=3,AW49,1)*IF(AX50=3,AW50,1)*IF(AX51=3,AW51,1)</f>
        <v>1</v>
      </c>
      <c r="DG47" s="134">
        <f>IF(AZ45=3,AY45,1)*IF(AZ46=3,AY46,1)*IF(AZ47=3,AY47,1)*IF(AZ48=3,AY48,1)*IF(AZ49=3,AY49,1)*IF(AZ50=3,AY50,1)*IF(AZ51=3,AY51,1)</f>
        <v>1</v>
      </c>
      <c r="DH47" s="134">
        <f>IF(BB45=3,BA45,1)*IF(BB46=3,BA46,1)*IF(BB47=3,BA47,1)*IF(BB48=3,BA48,1)*IF(BB49=3,BA49,1)*IF(BB50=3,BA50,1)*IF(BB51=3,BA51,1)</f>
        <v>1</v>
      </c>
      <c r="DI47" s="134">
        <f>IF(BD45=3,BC45,1)*IF(BD46=3,BC46,1)*IF(BD47=3,BC47,1)*IF(BD48=3,BC48,1)*IF(BD49=3,BC49,1)*IF(BD50=3,BC50,1)*IF(BD51=3,BC51,1)</f>
        <v>1</v>
      </c>
      <c r="DJ47" s="134">
        <f>IF(BF45=3,BE45,1)*IF(BF46=3,BE46,1)*IF(BF47=3,BE47,1)*IF(BF48=3,BE48,1)*IF(BF49=3,BE49,1)*IF(BF50=3,BE50,1)*IF(BF51=3,BE51,1)</f>
        <v>1</v>
      </c>
      <c r="DK47" s="134">
        <f>IF(BH45=3,BG45,1)*IF(BH46=3,BG46,1)*IF(BH47=3,BG47,1)*IF(BH48=3,BG48,1)*IF(BH49=3,BG49,1)*IF(BH50=3,BG50,1)*IF(BH51=3,BG51,1)</f>
        <v>1</v>
      </c>
      <c r="DL47" s="134">
        <f>IF(BJ45=3,BI45,1)*IF(BJ46=3,BI46,1)*IF(BJ47=3,BI47,1)*IF(BJ48=3,BI48,1)*IF(BJ49=3,BI49,1)*IF(BJ50=3,BI50,1)*IF(BJ51=3,BI51,1)</f>
        <v>1</v>
      </c>
      <c r="DM47" s="134">
        <f>IF(BL45=3,BK45,1)*IF(BL46=3,BK46,1)*IF(BL47=3,BK47,1)*IF(BL48=3,BK48,1)*IF(BL49=3,BK49,1)*IF(BL50=3,BK50,1)*IF(BL51=3,BK51,1)</f>
        <v>1</v>
      </c>
      <c r="DN47" s="134">
        <f>IF(BN45=3,BM45,1)*IF(BN46=3,BM46,1)*IF(BN47=3,BM47,1)*IF(BN48=3,BM48,1)*IF(BN49=3,BM49,1)*IF(BN50=3,BM50,1)*IF(BN51=3,BM51,1)</f>
        <v>1</v>
      </c>
      <c r="DO47" s="134">
        <f>IF(BP45=3,BO45,1)*IF(BP46=3,BO46,1)*IF(BP47=3,BO47,1)*IF(BP48=3,BO48,1)*IF(BP49=3,BO49,1)*IF(BP50=3,BO50,1)*IF(BP51=3,BO51,1)</f>
        <v>1</v>
      </c>
      <c r="DP47" s="134">
        <f>IF(BR45=3,BQ45,1)*IF(BR46=3,BQ46,1)*IF(BR47=3,BQ47,1)*IF(BR48=3,BQ48,1)*IF(BR49=3,BQ49,1)*IF(BR50=3,BQ50,1)*IF(BR51=3,BQ51,1)</f>
        <v>1</v>
      </c>
      <c r="DQ47" s="144">
        <f t="shared" si="76"/>
        <v>3</v>
      </c>
    </row>
    <row r="48" spans="2:122" x14ac:dyDescent="0.25">
      <c r="B48" s="134">
        <v>4</v>
      </c>
      <c r="C48" s="135" t="s">
        <v>272</v>
      </c>
      <c r="H48" s="134" t="str">
        <f>Contexto!C33</f>
        <v>3 La vía debe cumplir requisitos de ancho y estado de la capa de rodadura.</v>
      </c>
      <c r="I48" s="134">
        <v>1</v>
      </c>
      <c r="J48" s="134" t="str">
        <f>'Descripcion Actividades'!C46</f>
        <v>1 Se requiere una sola modalidad de transporte</v>
      </c>
      <c r="K48" s="134">
        <v>4</v>
      </c>
      <c r="P48" s="134" t="str">
        <f>'Descripcion Actividades'!C73</f>
        <v>1 Los materiales e insumos son todos de origen nacional.</v>
      </c>
      <c r="Q48" s="134">
        <v>6</v>
      </c>
      <c r="R48" s="134" t="str">
        <f>'Descripcion Actividades'!C87</f>
        <v>5 Se requiere aprovisionarse de medios de telecomunicación satelital.</v>
      </c>
      <c r="S48" s="134">
        <v>4</v>
      </c>
      <c r="T48" s="134" t="str">
        <f>'Descripcion Actividades'!C99</f>
        <v>2 Se requieren algunos servicios de alojamiento y su disponibilidad es amplia.</v>
      </c>
      <c r="U48" s="134">
        <v>6</v>
      </c>
      <c r="AB48" s="134" t="str">
        <f>'Descripcion Actividades'!C137</f>
        <v>1 La obra contempla actividades a nivel de piso.</v>
      </c>
      <c r="AC48" s="134">
        <v>4</v>
      </c>
      <c r="AN48" s="134">
        <f t="shared" si="6"/>
        <v>0</v>
      </c>
      <c r="AP48" s="134">
        <f t="shared" si="7"/>
        <v>0</v>
      </c>
      <c r="AQ48" s="134" t="str">
        <f>MID(H48,1,1)</f>
        <v>3</v>
      </c>
      <c r="AR48" s="134">
        <f t="shared" si="1"/>
        <v>1</v>
      </c>
      <c r="AS48" s="134" t="str">
        <f>MID(J48,1,1)</f>
        <v>1</v>
      </c>
      <c r="AT48" s="134">
        <f t="shared" si="1"/>
        <v>4</v>
      </c>
      <c r="AV48" s="134">
        <f t="shared" si="1"/>
        <v>0</v>
      </c>
      <c r="AX48" s="134">
        <f t="shared" si="1"/>
        <v>0</v>
      </c>
      <c r="AY48" s="134" t="str">
        <f>MID(P48,1,1)</f>
        <v>1</v>
      </c>
      <c r="AZ48" s="134">
        <f t="shared" si="2"/>
        <v>6</v>
      </c>
      <c r="BA48" s="134" t="str">
        <f t="shared" si="71"/>
        <v>5</v>
      </c>
      <c r="BB48" s="134">
        <f t="shared" si="2"/>
        <v>4</v>
      </c>
      <c r="BC48" s="134" t="str">
        <f t="shared" si="77"/>
        <v>2</v>
      </c>
      <c r="BD48" s="134">
        <f t="shared" si="2"/>
        <v>6</v>
      </c>
      <c r="BF48" s="134">
        <f t="shared" si="2"/>
        <v>0</v>
      </c>
      <c r="BH48" s="134">
        <f t="shared" si="3"/>
        <v>0</v>
      </c>
      <c r="BJ48" s="134">
        <f t="shared" si="3"/>
        <v>0</v>
      </c>
      <c r="BK48" s="134" t="str">
        <f>MID(AB48,1,1)</f>
        <v>1</v>
      </c>
      <c r="BL48" s="134">
        <f t="shared" si="3"/>
        <v>4</v>
      </c>
      <c r="BN48" s="134">
        <f t="shared" si="3"/>
        <v>0</v>
      </c>
      <c r="BP48" s="134">
        <f t="shared" si="4"/>
        <v>0</v>
      </c>
      <c r="BR48" s="134">
        <f t="shared" si="4"/>
        <v>0</v>
      </c>
      <c r="BT48" s="134">
        <f t="shared" si="4"/>
        <v>0</v>
      </c>
      <c r="BX48" s="134">
        <f>VALUE(AQ48)</f>
        <v>3</v>
      </c>
      <c r="BY48" s="134">
        <f>VALUE(AS48)</f>
        <v>1</v>
      </c>
      <c r="CB48" s="134">
        <f>VALUE(AY48)</f>
        <v>1</v>
      </c>
      <c r="CC48" s="134">
        <f t="shared" si="74"/>
        <v>5</v>
      </c>
      <c r="CD48" s="134">
        <f t="shared" si="78"/>
        <v>2</v>
      </c>
      <c r="CH48" s="134">
        <f>VALUE(BK48)</f>
        <v>1</v>
      </c>
      <c r="CL48" s="142"/>
      <c r="CX48" s="144"/>
      <c r="CY48" s="144"/>
      <c r="CZ48" s="144"/>
      <c r="DA48" s="134">
        <f>IF(AN45=4,AM45,1)*IF(AN46=4,AM46,1)*IF(AN47=4,AM47,1)*IF(AN48=4,AM48,1)*IF(AN49=4,AM49,1)*IF(AN50=4,AM50,1)*IF(AN51=4,AM51,1)</f>
        <v>6</v>
      </c>
      <c r="DB48" s="134">
        <f>IF(AP45=4,AO45,1)*IF(AP46=4,AO46,1)*IF(AP47=4,AO47,1)*IF(AP48=4,AO48,1)*IF(AP49=4,AO49,1)*IF(BV50=4,AN50,1)*IF(BV51=4,AN51,1)</f>
        <v>1</v>
      </c>
      <c r="DC48" s="134">
        <f>IF(AR45=4,AQ45,1)*IF(AR46=4,AQ46,1)*IF(AR47=4,AQ47,1)*IF(AR48=4,AQ48,1)*IF(AR49=4,AQ49,1)*IF(AR50=4,AQ50,1)*IF(AR51=4,AQ51,1)</f>
        <v>48</v>
      </c>
      <c r="DD48" s="134">
        <f>IF(AT45=4,AS45,1)*IF(AT46=4,AS46,1)*IF(AT47=4,AS47,1)*IF(AT48=4,AS48,1)*IF(AT49=4,AS49,1)*IF(AT50=4,AS50,1)*IF(AT51=4,AS51,1)</f>
        <v>48</v>
      </c>
      <c r="DE48" s="134">
        <f>IF(AV45=4,AU45,1)*IF(AV46=4,AU46,1)*IF(AV47=4,AU47,1)*IF(AV48=4,AU48,1)*IF(AV49=4,AU49,1)*IF(AV50=4,AU50,1)*IF(AV51=4,AU51,1)</f>
        <v>1</v>
      </c>
      <c r="DF48" s="134">
        <f>IF(AX45=4,AW45,1)*IF(AX46=4,AW46,1)*IF(AX47=4,AW47,1)*IF(AX48=4,AW48,1)*IF(AX49=4,AW49,1)*IF(AX50=4,AW50,1)*IF(AX51=4,AW51,1)</f>
        <v>1</v>
      </c>
      <c r="DG48" s="134">
        <f>IF(AZ45=4,AY45,1)*IF(AZ46=4,AY46,1)*IF(AZ47=4,AY47,1)*IF(AZ48=4,AY48,1)*IF(AZ49=4,AY49,1)*IF(AZ50=4,AY50,1)*IF(AZ51=4,AY51,1)</f>
        <v>1</v>
      </c>
      <c r="DH48" s="134">
        <f>IF(BB45=4,BA45,1)*IF(BB46=4,BA46,1)*IF(BB47=4,BA47,1)*IF(BB48=4,BA48,1)*IF(BB49=4,BA49,1)*IF(BB50=4,BA50,1)*IF(BB51=4,BA51,1)</f>
        <v>200</v>
      </c>
      <c r="DI48" s="134">
        <f>IF(BD45=4,BC45,1)*IF(BD46=4,BC46,1)*IF(BD47=4,BC47,1)*IF(BD48=4,BC48,1)*IF(BD49=4,BC49,1)*IF(BD50=4,BC50,1)*IF(BD51=4,BC51,1)</f>
        <v>4</v>
      </c>
      <c r="DJ48" s="134">
        <f>IF(BF45=4,BE45,1)*IF(BF46=4,BE46,1)*IF(BF47=4,BE47,1)*IF(BF48=4,BE48,1)*IF(BF49=4,BE49,1)*IF(BF50=4,BE50,1)*IF(BF51=4,BE51,1)</f>
        <v>1</v>
      </c>
      <c r="DK48" s="134">
        <f>IF(BH45=4,BG45,1)*IF(BH46=4,BG46,1)*IF(BH47=4,BG47,1)*IF(BH48=4,BG48,1)*IF(BH49=4,BG49,1)*IF(BH50=4,BG50,1)*IF(BH51=4,BG51,1)</f>
        <v>1</v>
      </c>
      <c r="DL48" s="134">
        <f>IF(BJ45=4,BI45,1)*IF(BJ46=4,BI46,1)*IF(BJ47=4,BI47,1)*IF(BJ48=4,BI48,1)*IF(BJ49=4,BI49,1)*IF(BJ50=4,BI50,1)*IF(BJ51=4,BI51,1)</f>
        <v>4</v>
      </c>
      <c r="DM48" s="134">
        <f>IF(BL45=4,BK45,1)*IF(BL46=4,BK46,1)*IF(BL47=4,BK47,1)*IF(BL48=4,BK48,1)*IF(BL49=4,BK49,1)*IF(BL50=4,BK50,1)*IF(BL51=4,BK51,1)</f>
        <v>1</v>
      </c>
      <c r="DN48" s="134">
        <f>IF(BN45=4,BM45,1)*IF(BN46=4,BM46,1)*IF(BN47=4,BM47,1)*IF(BN48=4,BM48,1)*IF(BN49=4,BM49,1)*IF(BN50=4,BM50,1)*IF(BN51=4,BM51,1)</f>
        <v>1</v>
      </c>
      <c r="DO48" s="134">
        <f>IF(BP45=4,BO45,1)*IF(BP46=4,BO46,1)*IF(BP47=4,BO47,1)*IF(BP48=4,BO48,1)*IF(BP49=4,BO49,1)*IF(BP50=4,BO50,1)*IF(BP51=4,BO51,1)</f>
        <v>1</v>
      </c>
      <c r="DP48" s="134">
        <f>IF(BR45=4,BQ45,1)*IF(BR46=4,BQ46,1)*IF(BR47=4,BQ47,1)*IF(BR48=4,BQ48,1)*IF(BR49=4,BQ49,1)*IF(BR50=4,BQ50,1)*IF(BR51=4,BQ51,1)</f>
        <v>1</v>
      </c>
      <c r="DQ48" s="144">
        <f t="shared" si="76"/>
        <v>44236800</v>
      </c>
    </row>
    <row r="49" spans="2:122" x14ac:dyDescent="0.25">
      <c r="B49" s="134">
        <v>5</v>
      </c>
      <c r="C49" s="135" t="s">
        <v>273</v>
      </c>
      <c r="P49" s="134" t="str">
        <f>'Descripcion Actividades'!C75</f>
        <v>1 No se contemplan materiales e insumos perecederos para la ejecución del contrato.</v>
      </c>
      <c r="Q49" s="134">
        <v>6</v>
      </c>
      <c r="R49" s="134" t="str">
        <f>'Descripcion Actividades'!C89</f>
        <v>5 Se requiere aprovisionarse de servicio de conectividad satelital.</v>
      </c>
      <c r="S49" s="134">
        <v>4</v>
      </c>
      <c r="T49" s="134" t="str">
        <f>'Descripcion Actividades'!C101</f>
        <v>2 Se requieren algunos servicios sanitarios y su disponibilidad es amplia.</v>
      </c>
      <c r="U49" s="134">
        <v>6</v>
      </c>
      <c r="AB49" s="134" t="str">
        <f>'Descripcion Actividades'!C139</f>
        <v>1 La obra no contempla  actividades de excavación, cimentación o instalación de estructuras elevadas o de elementos de gran tamaño y elevado peso.</v>
      </c>
      <c r="AC49" s="134">
        <v>6</v>
      </c>
      <c r="AN49" s="134">
        <f t="shared" si="6"/>
        <v>0</v>
      </c>
      <c r="AP49" s="134">
        <f t="shared" si="7"/>
        <v>0</v>
      </c>
      <c r="AR49" s="134">
        <f t="shared" si="1"/>
        <v>0</v>
      </c>
      <c r="AT49" s="134">
        <f t="shared" si="1"/>
        <v>0</v>
      </c>
      <c r="AV49" s="134">
        <f t="shared" si="1"/>
        <v>0</v>
      </c>
      <c r="AX49" s="134">
        <f t="shared" si="1"/>
        <v>0</v>
      </c>
      <c r="AY49" s="134" t="str">
        <f>MID(P49,1,1)</f>
        <v>1</v>
      </c>
      <c r="AZ49" s="134">
        <f t="shared" si="2"/>
        <v>6</v>
      </c>
      <c r="BA49" s="134" t="str">
        <f t="shared" si="71"/>
        <v>5</v>
      </c>
      <c r="BB49" s="134">
        <f t="shared" si="2"/>
        <v>4</v>
      </c>
      <c r="BC49" s="134" t="str">
        <f t="shared" si="77"/>
        <v>2</v>
      </c>
      <c r="BD49" s="134">
        <f t="shared" si="2"/>
        <v>6</v>
      </c>
      <c r="BF49" s="134">
        <f t="shared" si="2"/>
        <v>0</v>
      </c>
      <c r="BH49" s="134">
        <f t="shared" si="3"/>
        <v>0</v>
      </c>
      <c r="BJ49" s="134">
        <f t="shared" si="3"/>
        <v>0</v>
      </c>
      <c r="BK49" s="134" t="str">
        <f>MID(AB49,1,1)</f>
        <v>1</v>
      </c>
      <c r="BL49" s="134">
        <f t="shared" si="3"/>
        <v>6</v>
      </c>
      <c r="BN49" s="134">
        <f t="shared" si="3"/>
        <v>0</v>
      </c>
      <c r="BP49" s="134">
        <f t="shared" si="4"/>
        <v>0</v>
      </c>
      <c r="BR49" s="134">
        <f t="shared" si="4"/>
        <v>0</v>
      </c>
      <c r="BT49" s="134">
        <f t="shared" si="4"/>
        <v>0</v>
      </c>
      <c r="CB49" s="134">
        <f>VALUE(AY49)</f>
        <v>1</v>
      </c>
      <c r="CC49" s="134">
        <f t="shared" si="74"/>
        <v>5</v>
      </c>
      <c r="CD49" s="134">
        <f t="shared" si="78"/>
        <v>2</v>
      </c>
      <c r="CH49" s="134">
        <f>VALUE(BK49)</f>
        <v>1</v>
      </c>
      <c r="CL49" s="142"/>
      <c r="CX49" s="144"/>
      <c r="CY49" s="144"/>
      <c r="CZ49" s="144"/>
      <c r="DA49" s="134">
        <f>IF(AN45=5,AM45,1)*IF(AN46=5,AM46,1)*IF(AN47=5,AM47,1)*IF(AN48=5,AM48,1)*IF(AN49=5,AM49,1)*IF(AN50=5,AM50,1)*IF(AN51=5,AM51,1)</f>
        <v>1</v>
      </c>
      <c r="DB49" s="134">
        <f>IF(AP45=5,AO45,1)*IF(AP46=5,AO46,1)*IF(AP47=5,AO47,1)*IF(AP48=5,AO48,1)*IF(AP49=5,AO49,1)*IF(BV50=5,AN50,1)*IF(BV51=5,AN51,1)</f>
        <v>1</v>
      </c>
      <c r="DC49" s="134">
        <f>IF(AR45=5,AQ45,1)*IF(AR46=5,AQ46,1)*IF(AR47=5,AQ47,1)*IF(AR48=5,AQ48,1)*IF(AR49=5,AQ49,1)*IF(AR50=5,AQ50,1)*IF(AR51=5,AQ51,1)</f>
        <v>1</v>
      </c>
      <c r="DD49" s="134">
        <f>IF(AT45=5,AS45,1)*IF(AT46=5,AS46,1)*IF(AT47=5,AS47,1)*IF(AT48=5,AS48,1)*IF(AT49=5,AS49,1)*IF(AT50=5,AS50,1)*IF(AT51=5,AS51,1)</f>
        <v>1</v>
      </c>
      <c r="DE49" s="134">
        <f>IF(AV45=5,AU45,1)*IF(AV46=5,AU46,1)*IF(AV47=5,AU47,1)*IF(AV48=5,AU48,1)*IF(AV49=5,AU49,1)*IF(AV50=5,AU50,1)*IF(AV51=5,AU51,1)</f>
        <v>1</v>
      </c>
      <c r="DF49" s="134">
        <f>IF(AX45=5,AW45,1)*IF(AX46=5,AW46,1)*IF(AX47=5,AW47,1)*IF(AX48=5,AW48,1)*IF(AX49=5,AW49,1)*IF(AX50=5,AW50,1)*IF(AX51=5,AW51,1)</f>
        <v>1</v>
      </c>
      <c r="DG49" s="134">
        <f>IF(AZ45=5,AY45,1)*IF(AZ46=5,AY46,1)*IF(AZ47=5,AY47,1)*IF(AZ48=5,AY48,1)*IF(AZ49=5,AY49,1)*IF(AZ50=5,AY50,1)*IF(AZ51=5,AY51,1)</f>
        <v>1</v>
      </c>
      <c r="DH49" s="134">
        <f>IF(BB45=5,BA45,1)*IF(BB46=5,BA46,1)*IF(BB47=5,BA47,1)*IF(BB48=5,BA48,1)*IF(BB49=5,BA49,1)*IF(BB50=5,BA50,1)*IF(BB51=5,BA51,1)</f>
        <v>1</v>
      </c>
      <c r="DI49" s="134">
        <f>IF(BD45=5,BC45,1)*IF(BD46=5,BC46,1)*IF(BD47=5,BC47,1)*IF(BD48=5,BC48,1)*IF(BD49=5,BC49,1)*IF(BD50=5,BC50,1)*IF(BD51=5,BC51,1)</f>
        <v>1</v>
      </c>
      <c r="DJ49" s="134">
        <f>IF(BF45=5,BE45,1)*IF(BF46=5,BE46,1)*IF(BF47=5,BE47,1)*IF(BF48=5,BE48,1)*IF(BF49=5,BE49,1)*IF(BF50=5,BE50,1)*IF(BF51=5,BE51,1)</f>
        <v>1</v>
      </c>
      <c r="DK49" s="134">
        <f>IF(BH45=5,BG45,1)*IF(BH46=5,BG46,1)*IF(BH47=5,BG47,1)*IF(BH48=5,BG48,1)*IF(BH49=5,BG49,1)*IF(BH50=5,BG50,1)*IF(BH51=5,BG51,1)</f>
        <v>1</v>
      </c>
      <c r="DL49" s="134">
        <f>IF(BJ45=5,BI45,1)*IF(BJ46=5,BI46,1)*IF(BJ47=5,BI47,1)*IF(BJ48=5,BI48,1)*IF(BJ49=5,BI49,1)*IF(BJ50=5,BI50,1)*IF(BJ51=5,BI51,1)</f>
        <v>1</v>
      </c>
      <c r="DM49" s="134">
        <f>IF(BL45=5,BK45,1)*IF(BL46=5,BK46,1)*IF(BL47=5,BK47,1)*IF(BL48=5,BK48,1)*IF(BL49=5,BK49,1)*IF(BL50=5,BK50,1)*IF(BL51=5,BK51,1)</f>
        <v>1</v>
      </c>
      <c r="DN49" s="134">
        <f>IF(BN45=5,BM45,1)*IF(BN46=5,BM46,1)*IF(BN47=5,BM47,1)*IF(BN48=5,BM48,1)*IF(BN49=5,BM49,1)*IF(BN50=5,BM50,1)*IF(BN51=5,BM51,1)</f>
        <v>1</v>
      </c>
      <c r="DO49" s="134">
        <f>IF(BP45=5,BO45,1)*IF(BP46=5,BO46,1)*IF(BP47=5,BO47,1)*IF(BP48=5,BO48,1)*IF(BP49=5,BO49,1)*IF(BP50=5,BO50,1)*IF(BP51=5,BO51,1)</f>
        <v>1</v>
      </c>
      <c r="DP49" s="134">
        <f>IF(BR45=5,BQ45,1)*IF(BR46=5,BQ46,1)*IF(BR47=5,BQ47,1)*IF(BR48=5,BQ48,1)*IF(BR49=5,BQ49,1)*IF(BR50=1,BQ50,1)*IF(BR51=5,BQ51,1)</f>
        <v>1</v>
      </c>
      <c r="DQ49" s="144">
        <f t="shared" si="76"/>
        <v>1</v>
      </c>
    </row>
    <row r="50" spans="2:122" x14ac:dyDescent="0.25">
      <c r="B50" s="134">
        <v>6</v>
      </c>
      <c r="C50" s="135" t="s">
        <v>274</v>
      </c>
      <c r="R50" s="134" t="str">
        <f>'Descripcion Actividades'!C91</f>
        <v>4 Se requiere el procesamiento de un alto volumen de datos, es relevante para la ejecución del contrato y se realiza con un tercero.</v>
      </c>
      <c r="S50" s="134">
        <v>4</v>
      </c>
      <c r="T50" s="134" t="str">
        <f>'Descripcion Actividades'!C103</f>
        <v>2 Se requieren algunos ensayos de laboratorio y su disponibilidad es amplia.</v>
      </c>
      <c r="U50" s="134">
        <v>6</v>
      </c>
      <c r="AB50" s="134" t="str">
        <f>'Descripcion Actividades'!C141</f>
        <v>1 La obra no contempla actividades bajo el agua.</v>
      </c>
      <c r="AC50" s="134">
        <v>6</v>
      </c>
      <c r="AN50" s="134">
        <f t="shared" si="6"/>
        <v>0</v>
      </c>
      <c r="AP50" s="134">
        <f t="shared" si="7"/>
        <v>0</v>
      </c>
      <c r="AR50" s="134">
        <f t="shared" si="1"/>
        <v>0</v>
      </c>
      <c r="AT50" s="134">
        <f t="shared" si="1"/>
        <v>0</v>
      </c>
      <c r="AV50" s="134">
        <f t="shared" si="1"/>
        <v>0</v>
      </c>
      <c r="AX50" s="134">
        <f t="shared" si="1"/>
        <v>0</v>
      </c>
      <c r="AZ50" s="134">
        <f t="shared" si="2"/>
        <v>0</v>
      </c>
      <c r="BA50" s="134" t="str">
        <f t="shared" si="71"/>
        <v>4</v>
      </c>
      <c r="BB50" s="134">
        <f t="shared" si="2"/>
        <v>4</v>
      </c>
      <c r="BC50" s="134" t="str">
        <f>MID(T50,1,1)</f>
        <v>2</v>
      </c>
      <c r="BD50" s="134">
        <f t="shared" si="2"/>
        <v>6</v>
      </c>
      <c r="BF50" s="134">
        <f t="shared" si="2"/>
        <v>0</v>
      </c>
      <c r="BH50" s="134">
        <f t="shared" si="3"/>
        <v>0</v>
      </c>
      <c r="BJ50" s="134">
        <f t="shared" si="3"/>
        <v>0</v>
      </c>
      <c r="BK50" s="134" t="str">
        <f>MID(AB50,1,1)</f>
        <v>1</v>
      </c>
      <c r="BL50" s="134">
        <f t="shared" si="3"/>
        <v>6</v>
      </c>
      <c r="BN50" s="134">
        <f t="shared" si="3"/>
        <v>0</v>
      </c>
      <c r="BP50" s="134">
        <f t="shared" si="4"/>
        <v>0</v>
      </c>
      <c r="BR50" s="134">
        <f t="shared" si="4"/>
        <v>0</v>
      </c>
      <c r="BT50" s="134">
        <f t="shared" si="4"/>
        <v>0</v>
      </c>
      <c r="CC50" s="134">
        <f t="shared" si="74"/>
        <v>4</v>
      </c>
      <c r="CD50" s="134">
        <f>VALUE(BC50)</f>
        <v>2</v>
      </c>
      <c r="CH50" s="134">
        <f>VALUE(BK50)</f>
        <v>1</v>
      </c>
      <c r="CL50" s="142"/>
      <c r="CX50" s="144"/>
      <c r="CY50" s="144"/>
      <c r="CZ50" s="144"/>
      <c r="DA50" s="134">
        <f>IF(AN45=6,AM45,1)*IF(AN46=6,AM46,1)*IF(AN47=6,AM47,1)*IF(AN48=6,AM48,1)*IF(AN49=6,AM49,1)*IF(AN50=6,AM50,1)*IF(AN51=6,AM51,1)</f>
        <v>1</v>
      </c>
      <c r="DB50" s="134">
        <f>IF(AP45=6,AO45,1)*IF(AP46=6,AO46,1)*IF(AP47=6,AO47,1)*IF(AP48=6,AO48,1)*IF(AP49=6,AO49,1)*IF(BV50=6,AN50,1)*IF(BV51=6,AN51,1)</f>
        <v>1</v>
      </c>
      <c r="DC50" s="134">
        <f>IF(AR45=6,AQ45,1)*IF(AR46=6,AQ46,1)*IF(AR47=6,AQ47,1)*IF(AR48=6,AQ48,1)*IF(AR49=6,AQ49,1)*IF(AR50=6,AQ50,1)*IF(AR51=6,AQ51,1)</f>
        <v>1</v>
      </c>
      <c r="DD50" s="134">
        <f>IF(AT45=6,AS45,1)*IF(AT46=6,AS46,1)*IF(AT47=6,AS47,1)*IF(AT48=6,AS48,1)*IF(AT49=6,AS49,1)*IF(AT50=6,AS50,1)*IF(AT51=6,AS51,1)</f>
        <v>1</v>
      </c>
      <c r="DE50" s="134">
        <f>IF(AV45=6,AU45,1)*IF(AV46=6,AU46,1)*IF(AV47=6,AU47,1)*IF(AV48=6,AU48,1)*IF(AV49=6,AU49,1)*IF(AV50=6,AU50,1)*IF(AV51=6,AU51,1)</f>
        <v>1</v>
      </c>
      <c r="DF50" s="134">
        <f>IF(AX45=6,AW45,1)*IF(AX46=6,AW46,1)*IF(AX47=6,AW47,1)*IF(AX48=6,AW48,1)*IF(AX49=6,AW49,1)*IF(AX50=6,AW50,1)*IF(AX51=6,AW51,1)</f>
        <v>1</v>
      </c>
      <c r="DG50" s="134">
        <f>IF(AZ45=6,AY45,1)*IF(AZ46=6,AY46,1)*IF(AZ47=6,AY47,1)*IF(AZ48=6,AY48,1)*IF(AZ49=6,AY49,1)*IF(AZ50=6,AY50,1)*IF(AZ51=6,AY51,1)</f>
        <v>1</v>
      </c>
      <c r="DH50" s="134">
        <f>IF(BB45=6,BA45,1)*IF(BB46=6,BA46,1)*IF(BB47=6,BA47,1)*IF(BB48=6,BA48,1)*IF(BB49=6,BA49,1)*IF(BB50=6,BA50,1)*IF(BB51=6,BA51,1)</f>
        <v>1</v>
      </c>
      <c r="DI50" s="134">
        <f>IF(BD45=6,BC45,1)*IF(BD46=6,BC46,1)*IF(BD47=6,BC47,1)*IF(BD48=6,BC48,1)*IF(BD49=6,BC49,1)*IF(BD50=6,BC50,1)*IF(BD51=6,BC51,1)</f>
        <v>8</v>
      </c>
      <c r="DJ50" s="134">
        <f>IF(BF45=6,BE45,1)*IF(BF46=6,BE46,1)*IF(BF47=6,BE47,1)*IF(BF48=6,BE48,1)*IF(BF49=6,BE49,1)*IF(BF50=6,BE50,1)*IF(BF51=6,BE51,1)</f>
        <v>1</v>
      </c>
      <c r="DK50" s="134">
        <f>IF(BH45=6,BG45,1)*IF(BH46=6,BG46,1)*IF(BH47=6,BG47,1)*IF(BH48=6,BG48,1)*IF(BH49=6,BG49,1)*IF(BH50=6,BG50,1)*IF(BH51=6,BG51,1)</f>
        <v>2</v>
      </c>
      <c r="DL50" s="134">
        <f>IF(BJ45=6,BI45,1)*IF(BJ46=6,BI46,1)*IF(BJ47=6,BI47,1)*IF(BJ48=6,BI48,1)*IF(BJ49=6,BI49,1)*IF(BJ50=6,BI50,1)*IF(BJ51=6,BI51,1)</f>
        <v>6</v>
      </c>
      <c r="DM50" s="134">
        <f>IF(BL45=6,BK45,1)*IF(BL46=6,BK46,1)*IF(BL47=6,BK47,1)*IF(BL48=6,BK48,1)*IF(BL49=6,BK49,1)*IF(BL50=6,BK50,1)*IF(BL51=6,BK51,1)</f>
        <v>2</v>
      </c>
      <c r="DN50" s="134">
        <f>IF(BN45=6,BM45,1)*IF(BN46=6,BM46,1)*IF(BN47=6,BM47,1)*IF(BN48=6,BM48,1)*IF(BN49=6,BM49,1)*IF(BN50=6,BM50,1)*IF(BN51=6,BM51,1)</f>
        <v>1</v>
      </c>
      <c r="DO50" s="134">
        <f>IF(BP45=6,BO45,1)*IF(BP46=6,BO46,1)*IF(BP47=6,BO47,1)*IF(BP48=6,BO48,1)*IF(BP49=6,BO49,1)*IF(BP50=6,BO50,1)*IF(BP51=6,BO51,1)</f>
        <v>1</v>
      </c>
      <c r="DP50" s="134">
        <f>IF(BR45=6,BQ45,1)*IF(BR46=6,BQ46,1)*IF(BR47=6,BQ47,1)*IF(BR48=6,BQ48,1)*IF(BR49=6,BQ49,1)*IF(BR50=6,BQ50,1)*IF(BR51=6,BQ51,1)</f>
        <v>1</v>
      </c>
      <c r="DQ50" s="144">
        <f t="shared" si="76"/>
        <v>192</v>
      </c>
    </row>
    <row r="51" spans="2:122" x14ac:dyDescent="0.25">
      <c r="B51" s="134">
        <v>7</v>
      </c>
      <c r="C51" s="135" t="s">
        <v>275</v>
      </c>
      <c r="AN51" s="134">
        <f t="shared" si="6"/>
        <v>0</v>
      </c>
      <c r="AP51" s="134">
        <f t="shared" si="7"/>
        <v>0</v>
      </c>
      <c r="AR51" s="134">
        <f t="shared" si="1"/>
        <v>0</v>
      </c>
      <c r="AT51" s="134">
        <f t="shared" si="1"/>
        <v>0</v>
      </c>
      <c r="AV51" s="134">
        <f t="shared" si="1"/>
        <v>0</v>
      </c>
      <c r="AX51" s="134">
        <f t="shared" si="1"/>
        <v>0</v>
      </c>
      <c r="AZ51" s="134">
        <f t="shared" si="2"/>
        <v>0</v>
      </c>
      <c r="BB51" s="134">
        <f t="shared" si="2"/>
        <v>0</v>
      </c>
      <c r="BD51" s="134">
        <f t="shared" si="2"/>
        <v>0</v>
      </c>
      <c r="BF51" s="134">
        <f t="shared" si="2"/>
        <v>0</v>
      </c>
      <c r="BH51" s="134">
        <f t="shared" si="3"/>
        <v>0</v>
      </c>
      <c r="BJ51" s="134">
        <f t="shared" si="3"/>
        <v>0</v>
      </c>
      <c r="BL51" s="134">
        <f t="shared" si="3"/>
        <v>0</v>
      </c>
      <c r="BN51" s="134">
        <f t="shared" si="3"/>
        <v>0</v>
      </c>
      <c r="BP51" s="134">
        <f t="shared" si="4"/>
        <v>0</v>
      </c>
      <c r="BR51" s="134">
        <f t="shared" si="4"/>
        <v>0</v>
      </c>
      <c r="BT51" s="134">
        <f t="shared" si="4"/>
        <v>0</v>
      </c>
      <c r="CL51" s="142"/>
      <c r="CX51" s="144"/>
      <c r="CY51" s="144"/>
      <c r="CZ51" s="144"/>
      <c r="DA51" s="134">
        <f>IF(AN45=7,AM45,1)*IF(AN46=7,AM46,1)*IF(AN47=7,AM47,1)*IF(AN48=7,AM48,1)*IF(AN49=7,AM49,1)*IF(AN50=7,AM50,1)*IF(AN51=7,AM51,1)</f>
        <v>1</v>
      </c>
      <c r="DB51" s="134">
        <f>IF(AP45=7,AO45,1)*IF(AP46=7,AO46,1)*IF(AP47=7,AO47,1)*IF(AP48=7,AO48,1)*IF(AP49=7,AO49,1)*IF(BV50=7,AN50,1)*IF(BV51=7,AN51,1)</f>
        <v>1</v>
      </c>
      <c r="DC51" s="134">
        <f>IF(AR45=7,AQ45,1)*IF(AR46=7,AQ46,1)*IF(AR47=7,AQ47,1)*IF(AR48=7,AQ48,1)*IF(AR49=7,AQ49,1)*IF(AR50=7,AQ50,1)*IF(AR51=7,AQ51,1)</f>
        <v>1</v>
      </c>
      <c r="DD51" s="134">
        <f>IF(AT45=7,AS45,1)*IF(AT46=7,AS46,1)*IF(AT47=7,AS47,1)*IF(AT48=7,AS48,1)*IF(AT49=7,AS49,1)*IF(AT50=7,AS50,1)*IF(AT51=7,AS51,1)</f>
        <v>1</v>
      </c>
      <c r="DE51" s="134">
        <f>IF(AV45=7,AU45,1)*IF(AV46=7,AU46,1)*IF(AV47=7,AU47,1)*IF(AV48=7,AU48,1)*IF(AV49=7,AU49,1)*IF(AV50=7,AU50,1)*IF(AV51=7,AU51,1)</f>
        <v>1</v>
      </c>
      <c r="DF51" s="134">
        <f>IF(AX45=7,AW45,1)*IF(AX46=7,AW46,1)*IF(AX47=7,AW47,1)*IF(AX48=7,AW48,1)*IF(AX49=7,AW49,1)*IF(AX50=7,AW50,1)*IF(AX51=7,AW51,1)</f>
        <v>1</v>
      </c>
      <c r="DG51" s="134">
        <f>IF(AZ45=6,AY45,1)*IF(AZ46=6,AY46,1)*IF(AZ47=6,AY47,1)*IF(AZ48=6,AY48,1)*IF(AZ49=6,AY49,1)*IF(AZ50=6,AY50,1)*IF(AZ51=7,AY51,1)</f>
        <v>1</v>
      </c>
      <c r="DH51" s="134">
        <f>IF(BB45=7,BA45,1)*IF(BB46=7,BA46,1)*IF(BB47=7,BA47,1)*IF(BB48=7,BA48,1)*IF(BB49=7,BA49,1)*IF(BB50=7,BA50,1)*IF(BB51=7,BA51,1)</f>
        <v>1</v>
      </c>
      <c r="DI51" s="134">
        <f>IF(BD45=7,BC45,1)*IF(BD46=7,BC46,1)*IF(BD47=7,BC47,1)*IF(BD48=7,BC48,1)*IF(BD49=7,BC49,1)*IF(BD50=7,BC50,1)*IF(BD51=7,BC51,1)</f>
        <v>1</v>
      </c>
      <c r="DJ51" s="134">
        <f>IF(BF45=7,BE45,1)*IF(BF46=7,BE46,1)*IF(BF47=7,BE47,1)*IF(BF48=7,BE48,1)*IF(BF49=7,BE49,1)*IF(BF50=7,BE50,1)*IF(BF51=7,BE51,1)</f>
        <v>1</v>
      </c>
      <c r="DK51" s="134">
        <f>IF(BH45=7,BG45,1)*IF(BH46=7,BG46,1)*IF(BH47=7,BG47,1)*IF(BH48=7,BG48,1)*IF(BH49=7,BG49,1)*IF(BH50=7,BG50,1)*IF(BH51=7,BG51,1)</f>
        <v>1</v>
      </c>
      <c r="DL51" s="134">
        <f>IF(BJ45=7,BI45,1)*IF(BJ46=7,BI46,1)*IF(BJ47=7,BI47,1)*IF(BJ48=7,BI48,1)*IF(BJ49=7,BI49,1)*IF(BJ50=7,BI50,1)*IF(BJ51=7,BI51,1)</f>
        <v>1</v>
      </c>
      <c r="DM51" s="134">
        <f>IF(BL45=7,BK45,1)*IF(BL46=7,BK46,1)*IF(BL47=7,BK47,1)*IF(BL48=7,BK48,1)*IF(BL49=7,BK49,1)*IF(BL50=7,BK50,1)*IF(BL51=7,BK51,1)</f>
        <v>1</v>
      </c>
      <c r="DN51" s="134">
        <f>IF(BN45=7,BM45,1)*IF(BN46=7,BM46,1)*IF(BN47=7,BM47,1)*IF(BN48=7,BM48,1)*IF(BN49=7,BM49,1)*IF(BN50=7,BM50,1)*IF(BN51=7,BM51,1)</f>
        <v>1</v>
      </c>
      <c r="DO51" s="134">
        <f>IF(BP45=7,BO45,1)*IF(BP46=7,BO46,1)*IF(BP47=7,BO47,1)*IF(BP48=7,BO48,1)*IF(BP49=7,BO49,1)*IF(BP50=7,BO50,1)*IF(BP51=7,BO51,1)</f>
        <v>1</v>
      </c>
      <c r="DP51" s="134">
        <f>IF(BR45=7,BQ45,1)*IF(BR46=7,BQ46,1)*IF(BR47=7,BQ47,1)*IF(BR48=7,BQ48,1)*IF(BR49=7,BQ49,1)*IF(BR50=7,BQ50,1)*IF(BR51=7,BQ51,1)</f>
        <v>1</v>
      </c>
      <c r="DQ51" s="144">
        <f t="shared" si="76"/>
        <v>1</v>
      </c>
    </row>
    <row r="52" spans="2:122" s="144" customFormat="1" x14ac:dyDescent="0.25">
      <c r="C52" s="147"/>
      <c r="AN52" s="134">
        <f t="shared" si="6"/>
        <v>0</v>
      </c>
      <c r="AP52" s="134">
        <f t="shared" si="7"/>
        <v>0</v>
      </c>
      <c r="AR52" s="134">
        <f t="shared" si="1"/>
        <v>0</v>
      </c>
      <c r="AT52" s="134">
        <f t="shared" si="1"/>
        <v>0</v>
      </c>
      <c r="AV52" s="134">
        <f t="shared" si="1"/>
        <v>0</v>
      </c>
      <c r="AX52" s="134">
        <f t="shared" si="1"/>
        <v>0</v>
      </c>
      <c r="AZ52" s="134">
        <f t="shared" si="2"/>
        <v>0</v>
      </c>
      <c r="BB52" s="134">
        <f t="shared" si="2"/>
        <v>0</v>
      </c>
      <c r="BD52" s="134">
        <f t="shared" si="2"/>
        <v>0</v>
      </c>
      <c r="BF52" s="134">
        <f t="shared" si="2"/>
        <v>0</v>
      </c>
      <c r="BH52" s="134">
        <f t="shared" si="3"/>
        <v>0</v>
      </c>
      <c r="BJ52" s="134">
        <f t="shared" si="3"/>
        <v>0</v>
      </c>
      <c r="BL52" s="134">
        <f t="shared" si="3"/>
        <v>0</v>
      </c>
      <c r="BN52" s="134">
        <f t="shared" si="3"/>
        <v>0</v>
      </c>
      <c r="BP52" s="134">
        <f t="shared" si="4"/>
        <v>0</v>
      </c>
      <c r="BR52" s="134">
        <f t="shared" si="4"/>
        <v>0</v>
      </c>
      <c r="BT52" s="134">
        <f t="shared" si="4"/>
        <v>0</v>
      </c>
      <c r="BV52" s="144">
        <f>BV45*BV46*BV47</f>
        <v>6</v>
      </c>
      <c r="BW52" s="144">
        <f>BW45*BW46</f>
        <v>12</v>
      </c>
      <c r="BX52" s="144">
        <f>BX46*BX47*BX48</f>
        <v>36</v>
      </c>
      <c r="BY52" s="144">
        <f>BY45*BY46*BY47*BY48</f>
        <v>48</v>
      </c>
      <c r="BZ52" s="144">
        <f>BZ45*BZ46</f>
        <v>1</v>
      </c>
      <c r="CA52" s="144">
        <f>CA45*CA46</f>
        <v>1</v>
      </c>
      <c r="CB52" s="144">
        <f>CB45*CB46*CB47*CB48*CB49</f>
        <v>1</v>
      </c>
      <c r="CC52" s="144">
        <f>CC45*CC46*CC47*CC48*CC49*CC50</f>
        <v>200</v>
      </c>
      <c r="CD52" s="144">
        <f>CD45*CD46*CD47*CD48*CD49*CD50</f>
        <v>32</v>
      </c>
      <c r="CE52" s="144">
        <f>CE45</f>
        <v>1</v>
      </c>
      <c r="CF52" s="144">
        <f>CF45</f>
        <v>2</v>
      </c>
      <c r="CG52" s="144">
        <f>CG45*CG46*CG47</f>
        <v>24</v>
      </c>
      <c r="CH52" s="144">
        <f>CH45*CH46*CH47*CH48*CH49*CH50</f>
        <v>2</v>
      </c>
      <c r="CL52" s="148">
        <f>PRODUCT(BV52:CK52)</f>
        <v>76441190400</v>
      </c>
      <c r="CX52" s="144" t="str">
        <f>IF(CL52&lt;CO12,'cap.7 - analisis riesgos'!$B$15,IF('Eval Factores de Riesgo'!CL52&lt;'Eval Factores de Riesgo'!CP12,'cap.7 - analisis riesgos'!$B$16,IF('Eval Factores de Riesgo'!CL52&lt;'Eval Factores de Riesgo'!CQ12,'cap.7 - analisis riesgos'!$B$17,IF('Eval Factores de Riesgo'!CL52&lt;'Eval Factores de Riesgo'!CS12,'cap.7 - analisis riesgos'!$B$18,'cap.7 - analisis riesgos'!$B$19))))</f>
        <v>Probable</v>
      </c>
      <c r="CY52" s="144">
        <f>IF(CL52&lt;CP12,'cap.7 - analisis riesgos'!$G$15,IF('Eval Factores de Riesgo'!CL52&lt;'Eval Factores de Riesgo'!CQ12,'cap.7 - analisis riesgos'!$G$16,IF('Eval Factores de Riesgo'!CL52&lt;'Eval Factores de Riesgo'!CS12,'cap.7 - analisis riesgos'!$G$17,IF('Eval Factores de Riesgo'!CL52&lt;'Eval Factores de Riesgo'!CT12,'cap.7 - analisis riesgos'!$G$18,'cap.7 - analisis riesgos'!$G$19))))</f>
        <v>3</v>
      </c>
      <c r="CZ52" s="144">
        <f>MAX(DA52:DP52)</f>
        <v>200</v>
      </c>
      <c r="DA52" s="144">
        <f>PRODUCT(DA45:DA51)</f>
        <v>6</v>
      </c>
      <c r="DB52" s="144">
        <f t="shared" ref="DB52:DP52" si="79">PRODUCT(DB45:DB51)</f>
        <v>12</v>
      </c>
      <c r="DC52" s="144">
        <f t="shared" si="79"/>
        <v>144</v>
      </c>
      <c r="DD52" s="144">
        <f t="shared" si="79"/>
        <v>48</v>
      </c>
      <c r="DE52" s="144">
        <f t="shared" si="79"/>
        <v>1</v>
      </c>
      <c r="DF52" s="144">
        <f t="shared" si="79"/>
        <v>1</v>
      </c>
      <c r="DG52" s="144">
        <f t="shared" si="79"/>
        <v>1</v>
      </c>
      <c r="DH52" s="144">
        <f t="shared" si="79"/>
        <v>200</v>
      </c>
      <c r="DI52" s="144">
        <f t="shared" si="79"/>
        <v>32</v>
      </c>
      <c r="DJ52" s="144">
        <f t="shared" si="79"/>
        <v>1</v>
      </c>
      <c r="DK52" s="144">
        <f t="shared" si="79"/>
        <v>2</v>
      </c>
      <c r="DL52" s="144">
        <f t="shared" si="79"/>
        <v>24</v>
      </c>
      <c r="DM52" s="144">
        <f t="shared" si="79"/>
        <v>2</v>
      </c>
      <c r="DN52" s="144">
        <f t="shared" si="79"/>
        <v>1</v>
      </c>
      <c r="DO52" s="144">
        <f t="shared" si="79"/>
        <v>1</v>
      </c>
      <c r="DP52" s="144">
        <f t="shared" si="79"/>
        <v>1</v>
      </c>
    </row>
    <row r="53" spans="2:122" s="144" customFormat="1" x14ac:dyDescent="0.25">
      <c r="C53" s="147"/>
      <c r="AN53" s="134"/>
      <c r="AP53" s="134"/>
      <c r="AR53" s="134"/>
      <c r="AT53" s="134"/>
      <c r="AV53" s="134"/>
      <c r="AX53" s="134"/>
      <c r="AZ53" s="134"/>
      <c r="BB53" s="134"/>
      <c r="BD53" s="134"/>
      <c r="BF53" s="134"/>
      <c r="BH53" s="134"/>
      <c r="BJ53" s="134"/>
      <c r="BL53" s="134"/>
      <c r="BN53" s="134"/>
      <c r="BP53" s="134"/>
      <c r="BR53" s="134"/>
      <c r="BT53" s="134"/>
      <c r="CL53" s="150"/>
      <c r="DA53" s="144">
        <f>$CZ$52-DA52</f>
        <v>194</v>
      </c>
      <c r="DB53" s="144">
        <f t="shared" ref="DB53:DP53" si="80">$CZ$52-DB52</f>
        <v>188</v>
      </c>
      <c r="DC53" s="144">
        <f t="shared" si="80"/>
        <v>56</v>
      </c>
      <c r="DD53" s="144">
        <f t="shared" si="80"/>
        <v>152</v>
      </c>
      <c r="DE53" s="144">
        <f t="shared" si="80"/>
        <v>199</v>
      </c>
      <c r="DF53" s="144">
        <f t="shared" si="80"/>
        <v>199</v>
      </c>
      <c r="DG53" s="144">
        <f t="shared" si="80"/>
        <v>199</v>
      </c>
      <c r="DH53" s="144">
        <f t="shared" si="80"/>
        <v>0</v>
      </c>
      <c r="DI53" s="144">
        <f t="shared" si="80"/>
        <v>168</v>
      </c>
      <c r="DJ53" s="144">
        <f t="shared" si="80"/>
        <v>199</v>
      </c>
      <c r="DK53" s="144">
        <f t="shared" si="80"/>
        <v>198</v>
      </c>
      <c r="DL53" s="144">
        <f t="shared" si="80"/>
        <v>176</v>
      </c>
      <c r="DM53" s="144">
        <f t="shared" si="80"/>
        <v>198</v>
      </c>
      <c r="DN53" s="144">
        <f t="shared" si="80"/>
        <v>199</v>
      </c>
      <c r="DO53" s="144">
        <f t="shared" si="80"/>
        <v>199</v>
      </c>
      <c r="DP53" s="144">
        <f t="shared" si="80"/>
        <v>199</v>
      </c>
      <c r="DR53" s="144">
        <f>IF(DA53=0,DA44,IF(DB53=0,DB44,IF(DC53=0,DC44,IF(DD53=0,DD44,IF(DE53=0,DE44,IF(DF53=0,DF44,IF(DG53=0,DG44,IF(DH53=0,DH44,IF(DI53=0,DI44,IF(DJ53=0,DJ44,IF(DK53=0,DK44,IF(DL53=0,DL44,IF(DM53=0,DM44,IF(DN53=0,DN44,IF(DO53=0,DO44,DP44)))))))))))))))</f>
        <v>12</v>
      </c>
    </row>
    <row r="54" spans="2:122" x14ac:dyDescent="0.25">
      <c r="C54" s="141" t="s">
        <v>28</v>
      </c>
      <c r="D54" s="137" t="s">
        <v>590</v>
      </c>
      <c r="F54" s="137" t="s">
        <v>591</v>
      </c>
      <c r="H54" s="151" t="s">
        <v>593</v>
      </c>
      <c r="J54" s="151" t="s">
        <v>581</v>
      </c>
      <c r="L54" s="137" t="s">
        <v>600</v>
      </c>
      <c r="N54" s="137" t="s">
        <v>583</v>
      </c>
      <c r="P54" s="137" t="s">
        <v>586</v>
      </c>
      <c r="R54" s="137" t="s">
        <v>587</v>
      </c>
      <c r="AN54" s="134">
        <f t="shared" si="6"/>
        <v>0</v>
      </c>
      <c r="AP54" s="134">
        <f t="shared" si="7"/>
        <v>0</v>
      </c>
      <c r="AR54" s="134">
        <f t="shared" si="1"/>
        <v>0</v>
      </c>
      <c r="AT54" s="134">
        <f t="shared" si="1"/>
        <v>0</v>
      </c>
      <c r="AV54" s="134">
        <f t="shared" si="1"/>
        <v>0</v>
      </c>
      <c r="AX54" s="134">
        <f t="shared" si="1"/>
        <v>0</v>
      </c>
      <c r="AZ54" s="134">
        <f t="shared" si="2"/>
        <v>0</v>
      </c>
      <c r="BB54" s="134">
        <f t="shared" si="2"/>
        <v>0</v>
      </c>
      <c r="BD54" s="134">
        <f t="shared" si="2"/>
        <v>0</v>
      </c>
      <c r="BF54" s="134">
        <f t="shared" si="2"/>
        <v>0</v>
      </c>
      <c r="BH54" s="134">
        <f t="shared" si="3"/>
        <v>0</v>
      </c>
      <c r="BJ54" s="134">
        <f t="shared" si="3"/>
        <v>0</v>
      </c>
      <c r="BL54" s="134">
        <f t="shared" si="3"/>
        <v>0</v>
      </c>
      <c r="BN54" s="134">
        <f t="shared" si="3"/>
        <v>0</v>
      </c>
      <c r="BP54" s="134">
        <f t="shared" si="4"/>
        <v>0</v>
      </c>
      <c r="BR54" s="134">
        <f t="shared" si="4"/>
        <v>0</v>
      </c>
      <c r="BT54" s="134">
        <f t="shared" si="4"/>
        <v>0</v>
      </c>
      <c r="CL54" s="138" t="s">
        <v>322</v>
      </c>
      <c r="CX54" s="144"/>
      <c r="CY54" s="144"/>
      <c r="CZ54" s="144"/>
      <c r="DA54" s="143">
        <f>IFERROR(VALUE(MID(D54,1,2)),"")</f>
        <v>6</v>
      </c>
      <c r="DB54" s="143">
        <f>IFERROR(VALUE(MID(F54,1,2)),"")</f>
        <v>7</v>
      </c>
      <c r="DC54" s="143">
        <f>IFERROR(VALUE(MID(H54,1,2)),"")</f>
        <v>9</v>
      </c>
      <c r="DD54" s="143">
        <f>IFERROR(VALUE(MID(J54,1,2)),"")</f>
        <v>10</v>
      </c>
      <c r="DE54" s="143">
        <f>IFERROR(VALUE(MID(L54,1,2)),"")</f>
        <v>13</v>
      </c>
      <c r="DF54" s="143">
        <f>IFERROR(VALUE(MID(N54,1,2)),"")</f>
        <v>14</v>
      </c>
      <c r="DG54" s="143">
        <f>IFERROR(VALUE(MID(P54,1,2)),"")</f>
        <v>15</v>
      </c>
      <c r="DH54" s="143">
        <f>IFERROR(VALUE(MID(R54,1,2)),"")</f>
        <v>16</v>
      </c>
      <c r="DI54" s="143" t="str">
        <f>IFERROR(VALUE(MID(T54,1,2)),"")</f>
        <v/>
      </c>
      <c r="DJ54" s="143" t="str">
        <f>IFERROR(VALUE(MID(V54,1,2)),"")</f>
        <v/>
      </c>
      <c r="DK54" s="143" t="str">
        <f>IFERROR(VALUE(MID(X54,1,2)),"")</f>
        <v/>
      </c>
      <c r="DL54" s="143" t="str">
        <f>IFERROR(VALUE(MID(Z54,1,2)),"")</f>
        <v/>
      </c>
      <c r="DM54" s="143" t="str">
        <f>IFERROR(VALUE(MID(AB54,1,2)),"")</f>
        <v/>
      </c>
      <c r="DN54" s="143" t="str">
        <f>IFERROR(VALUE(MID(AD54,1,2)),"")</f>
        <v/>
      </c>
      <c r="DO54" s="143" t="str">
        <f>IFERROR(VALUE(MID(AF54,1,2)),"")</f>
        <v/>
      </c>
      <c r="DP54" s="143" t="str">
        <f>IFERROR(VALUE(MID(AH54,1,2)),"")</f>
        <v/>
      </c>
      <c r="DQ54" s="144"/>
    </row>
    <row r="55" spans="2:122" x14ac:dyDescent="0.25">
      <c r="B55" s="134">
        <v>1</v>
      </c>
      <c r="C55" s="135" t="s">
        <v>276</v>
      </c>
      <c r="D55" s="134" t="str">
        <f>'Descripcion Actividades'!C14</f>
        <v>3 Algo complejas</v>
      </c>
      <c r="E55" s="134">
        <v>1</v>
      </c>
      <c r="F55" s="134" t="str">
        <f>'Descripcion Actividades'!C27</f>
        <v>2 El contratista deberá vincular personal de dedicación exclusiva para la ejecución del contrato.</v>
      </c>
      <c r="G55" s="134">
        <v>4</v>
      </c>
      <c r="H55" s="145" t="str">
        <f>'Descripcion Actividades'!C51</f>
        <v>1 El contrato no contempla actividades de manipulación y/o suministro de alimentos.</v>
      </c>
      <c r="I55" s="145">
        <v>7</v>
      </c>
      <c r="J55" s="146" t="str">
        <f>'Descripcion Actividades'!C55</f>
        <v>1 El contrato no contempla actividades de manipulación y/o suministro de medicamentos.</v>
      </c>
      <c r="K55" s="146">
        <v>7</v>
      </c>
      <c r="L55" s="134" t="str">
        <f>'Descripcion Actividades'!C110</f>
        <v>3 La estructura de supervisión y niveles de decisión es elaborada y las decisiones se toman en cada nivel según su relevancia para el contrato.</v>
      </c>
      <c r="M55" s="134">
        <v>6</v>
      </c>
      <c r="N55" s="134" t="str">
        <f>'Descripcion Actividades'!C118</f>
        <v>2 Las máquinas, equipos y vehículos son de uso común y su disponibilidad es amplia.</v>
      </c>
      <c r="O55" s="134">
        <v>6</v>
      </c>
      <c r="P55" s="134" t="str">
        <f>'Descripcion Actividades'!C123</f>
        <v>4 El contrato contempla una cantidad apreciable de actividades de campo especializadas y/o complejas.</v>
      </c>
      <c r="Q55" s="134">
        <v>1</v>
      </c>
      <c r="R55" s="134" t="str">
        <f>'Descripcion Actividades'!C131</f>
        <v>1 El contrato no contempla actividades de obra civil.</v>
      </c>
      <c r="S55" s="134">
        <v>1</v>
      </c>
      <c r="AM55" s="134" t="str">
        <f t="shared" si="21"/>
        <v>3</v>
      </c>
      <c r="AN55" s="134">
        <f t="shared" si="6"/>
        <v>1</v>
      </c>
      <c r="AO55" s="134" t="str">
        <f t="shared" si="22"/>
        <v>2</v>
      </c>
      <c r="AP55" s="134">
        <f t="shared" si="7"/>
        <v>4</v>
      </c>
      <c r="AQ55" s="145" t="str">
        <f>MID(H55,1,1)</f>
        <v>1</v>
      </c>
      <c r="AR55" s="134">
        <f t="shared" si="1"/>
        <v>7</v>
      </c>
      <c r="AS55" s="146" t="str">
        <f>MID(J55,1,1)</f>
        <v>1</v>
      </c>
      <c r="AT55" s="134">
        <f t="shared" si="1"/>
        <v>7</v>
      </c>
      <c r="AU55" s="134" t="str">
        <f>MID(L55,1,1)</f>
        <v>3</v>
      </c>
      <c r="AV55" s="134">
        <f t="shared" si="1"/>
        <v>6</v>
      </c>
      <c r="AW55" s="134" t="str">
        <f>MID(N55,1,1)</f>
        <v>2</v>
      </c>
      <c r="AX55" s="134">
        <f t="shared" si="1"/>
        <v>6</v>
      </c>
      <c r="AY55" s="134" t="str">
        <f>MID(P55,1,1)</f>
        <v>4</v>
      </c>
      <c r="AZ55" s="134">
        <f t="shared" si="2"/>
        <v>1</v>
      </c>
      <c r="BA55" s="134" t="str">
        <f t="shared" ref="BA55" si="81">MID(R55,1,1)</f>
        <v>1</v>
      </c>
      <c r="BB55" s="134">
        <f t="shared" si="2"/>
        <v>1</v>
      </c>
      <c r="BD55" s="134">
        <f t="shared" si="2"/>
        <v>0</v>
      </c>
      <c r="BF55" s="134">
        <f t="shared" si="2"/>
        <v>0</v>
      </c>
      <c r="BH55" s="134">
        <f t="shared" si="3"/>
        <v>0</v>
      </c>
      <c r="BJ55" s="134">
        <f t="shared" si="3"/>
        <v>0</v>
      </c>
      <c r="BL55" s="134">
        <f t="shared" si="3"/>
        <v>0</v>
      </c>
      <c r="BN55" s="134">
        <f t="shared" si="3"/>
        <v>0</v>
      </c>
      <c r="BP55" s="134">
        <f t="shared" si="4"/>
        <v>0</v>
      </c>
      <c r="BR55" s="134">
        <f t="shared" si="4"/>
        <v>0</v>
      </c>
      <c r="BT55" s="134">
        <f t="shared" si="4"/>
        <v>0</v>
      </c>
      <c r="BV55" s="134">
        <f t="shared" si="14"/>
        <v>3</v>
      </c>
      <c r="BW55" s="134">
        <f>VALUE(AO55)</f>
        <v>2</v>
      </c>
      <c r="BX55" s="145">
        <f>VALUE(AQ55)</f>
        <v>1</v>
      </c>
      <c r="BY55" s="146">
        <f t="shared" si="42"/>
        <v>1</v>
      </c>
      <c r="BZ55" s="134">
        <f>VALUE(AU55)</f>
        <v>3</v>
      </c>
      <c r="CA55" s="134">
        <f>VALUE(AW55)</f>
        <v>2</v>
      </c>
      <c r="CB55" s="134">
        <f>VALUE(AY55)</f>
        <v>4</v>
      </c>
      <c r="CC55" s="134">
        <f t="shared" ref="CC55:CC60" si="82">VALUE(BA55)</f>
        <v>1</v>
      </c>
      <c r="CL55" s="142"/>
      <c r="CX55" s="144"/>
      <c r="CY55" s="144"/>
      <c r="CZ55" s="144"/>
      <c r="DA55" s="134">
        <f>IF(AN55=1,AM55,1)*IF(AN56=1,AM56,1)*IF(AN57=1,AM57,1)*IF(AN58=1,AM58,1)*IF(AN59=1,AM59,1)*IF(AN60=1,AM60,1)*IF(AN61=1,AM61,1)</f>
        <v>3</v>
      </c>
      <c r="DB55" s="134">
        <f>IF(AP55=1,AO55,1)*IF(AP56=1,AO56,1)*IF(AP57=1,AO57,1)*IF(AP58=1,AO58,1)*IF(AP59=1,AO59,1)*IF(BV60=1,AN60,1)*IF(BV61=1,AN61,1)</f>
        <v>1</v>
      </c>
      <c r="DC55" s="134">
        <f>IF(AR55=1,AQ55,1)*IF(AR56=1,AQ56,1)*IF(AR57=1,AQ57,1)*IF(AR58=1,AQ58,1)*IF(AR59=1,AQ59,1)*IF(AR60=1,AQ60,1)*IF(AR61=1,AQ61,1)</f>
        <v>1</v>
      </c>
      <c r="DD55" s="134">
        <f>IF(AT55=1,AS55,1)*IF(AT56=1,AS56,1)*IF(AT57=1,AS57,1)*IF(AT58=1,AS58,1)*IF(AT59=1,AS59,1)*IF(AT60=1,AS60,1)*IF(AT61=1,AS61,1)</f>
        <v>1</v>
      </c>
      <c r="DE55" s="134">
        <f>IF(AV55=1,AU55,1)*IF(AV56=1,AU56,1)*IF(AV57=1,AU57,1)*IF(AV58=1,AU58,1)*IF(AV59=1,AU59,1)*IF(AV60=1,AU60,1)*IF(AV61=1,AU61,1)</f>
        <v>1</v>
      </c>
      <c r="DF55" s="134">
        <f>IF(AX55=1,AW55,1)*IF(AX56=1,AW56,1)*IF(AX57=1,AW57,1)*IF(AX58=1,AW58,1)*IF(AX59=1,AW59,1)*IF(AX60=1,AW60,1)*IF(AX61=1,AW61,1)</f>
        <v>1</v>
      </c>
      <c r="DG55" s="134">
        <f>IF(AZ55=1,AY55,1)*IF(AZ56=1,AY56,1)*IF(AZ57=1,AY57,1)*IF(AZ58=1,AY58,1)*IF(AZ59=1,AY59,1)*IF(AZ60=1,AY60,1)*IF(AZ61=1,AY61,1)</f>
        <v>24</v>
      </c>
      <c r="DH55" s="134">
        <f>IF(BB55=1,BA55,1)*IF(BB56=1,BA56,1)*IF(BB57=1,BA57,1)*IF(BB58=1,BA58,1)*IF(BB59=1,BA59,1)*IF(BB60=1,BA60,1)*IF(BB61=1,BA61,1)</f>
        <v>2</v>
      </c>
      <c r="DI55" s="134">
        <f>IF(BD55=1,BC55,1)*IF(BD56=1,BC56,1)*IF(BD57=1,BC57,1)*IF(BD58=1,BC58,1)*IF(BD59=1,BC59,1)*IF(BD60=1,BC60,1)*IF(BD61=1,BC61,1)</f>
        <v>1</v>
      </c>
      <c r="DJ55" s="134">
        <f>IF(BF55=1,BE55,1)*IF(BF56=1,BE56,1)*IF(BF57=1,BE57,1)*IF(BF58=1,BE58,1)*IF(BF59=1,BE59,1)*IF(BF60=1,BE60,1)*IF(BF61=1,BE61,1)</f>
        <v>1</v>
      </c>
      <c r="DK55" s="134">
        <f>IF(BH55=1,BG55,1)*IF(BH56=1,BG56,1)*IF(BH57=1,BG57,1)*IF(BH58=1,BG58,1)*IF(BH59=1,BG59,1)*IF(BH60=1,BG60,1)*IF(BH61=1,BG61,1)</f>
        <v>1</v>
      </c>
      <c r="DL55" s="134">
        <f>IF(BJ55=1,BI55,1)*IF(BJ56=1,BI56,1)*IF(BJ57=1,BI57,1)*IF(BJ58=1,BI58,1)*IF(BJ59=1,BI59,1)*IF(BJ60=1,BI60,1)*IF(BJ61=1,BI61,1)</f>
        <v>1</v>
      </c>
      <c r="DM55" s="134">
        <f>IF(BL55=1,BK55,1)*IF(BL56=1,BK56,1)*IF(BL57=1,BK57,1)*IF(BL58=1,BK58,1)*IF(BL59=1,BK59,1)*IF(BL60=1,BK60,1)*IF(BL61=1,BK61,1)</f>
        <v>1</v>
      </c>
      <c r="DN55" s="134">
        <f>IF(BN55=1,BM55,1)*IF(BN56=1,BM56,1)*IF(BN57=1,BM57,1)*IF(BN58=1,BM58,1)*IF(BN59=1,BM59,1)*IF(BN60=1,BM60,1)*IF(BN61=1,BM61,1)</f>
        <v>1</v>
      </c>
      <c r="DO55" s="134">
        <f>IF(BP55=1,BO55,1)*IF(BP56=1,BO56,1)*IF(BP57=1,BO57,1)*IF(BP58=1,BO58,1)*IF(BP59=1,BO59,1)*IF(BP60=1,BO60,1)*IF(BP61=1,BO61,1)</f>
        <v>1</v>
      </c>
      <c r="DP55" s="134">
        <f>IF(BR55=1,BQ55,1)*IF(BR56=1,BQ56,1)*IF(BR57=1,BQ57,1)*IF(BR58=1,BQ58,1)*IF(BR59=1,BQ59,1)*IF(BR60=1,BQ60,1)*IF(BR61=1,BQ61,1)</f>
        <v>1</v>
      </c>
      <c r="DQ55" s="144">
        <f t="shared" ref="DQ55:DQ61" si="83">PRODUCT(DA55:DP55)</f>
        <v>144</v>
      </c>
      <c r="DR55" s="134">
        <f>IF((DQ55-MAX(DQ55:DQ61))=0,B55,IF((DQ56-MAX(DQ55:DQ61))=0,B56,IF((DQ57-MAX(DQ55:DQ61))=0,B57,IF((DQ58-MAX(DQ55:DQ61))=0,B58,IF((DQ59-MAX(DQ55:DQ61))=0,B59,IF((DQ60-MAX(DQ55:DQ61))=0,B60,B61))))))</f>
        <v>1</v>
      </c>
    </row>
    <row r="56" spans="2:122" x14ac:dyDescent="0.25">
      <c r="B56" s="134">
        <v>2</v>
      </c>
      <c r="C56" s="135" t="s">
        <v>277</v>
      </c>
      <c r="D56" s="134" t="str">
        <f>'Descripcion Actividades'!C16</f>
        <v>3 Se requiere experiencia pero es común encontrarla</v>
      </c>
      <c r="E56" s="134">
        <v>7</v>
      </c>
      <c r="F56" s="134" t="str">
        <f>'Descripcion Actividades'!C29</f>
        <v>3 Se requiere de recurso humano y su costo es representativo para la ejecución del contrato.</v>
      </c>
      <c r="G56" s="134">
        <v>4</v>
      </c>
      <c r="H56" s="134" t="str">
        <f>'Descripcion Actividades'!C53</f>
        <v>1 Nada Relevante</v>
      </c>
      <c r="I56" s="134">
        <v>7</v>
      </c>
      <c r="J56" s="146" t="str">
        <f>'Descripcion Actividades'!C53</f>
        <v>1 Nada Relevante</v>
      </c>
      <c r="K56" s="146">
        <v>7</v>
      </c>
      <c r="L56" s="134" t="str">
        <f>'Descripcion Actividades'!C112</f>
        <v>3 Los procesos, metodologías, procedimientos, instructivos son complejos</v>
      </c>
      <c r="M56" s="134">
        <v>6</v>
      </c>
      <c r="P56" s="134" t="str">
        <f>'Descripcion Actividades'!C125</f>
        <v>2 El lugar para la ejecución del contrato es de fácil acceso y pero los tiempos para acceder pueden variar.</v>
      </c>
      <c r="Q56" s="134">
        <v>1</v>
      </c>
      <c r="R56" s="134" t="str">
        <f>'Descripcion Actividades'!C133</f>
        <v>1 Se contempla un único frente de obra.</v>
      </c>
      <c r="S56" s="134">
        <v>1</v>
      </c>
      <c r="AM56" s="134" t="str">
        <f t="shared" si="21"/>
        <v>3</v>
      </c>
      <c r="AN56" s="134">
        <f t="shared" si="6"/>
        <v>7</v>
      </c>
      <c r="AO56" s="134" t="str">
        <f t="shared" si="22"/>
        <v>3</v>
      </c>
      <c r="AP56" s="134">
        <f t="shared" si="7"/>
        <v>4</v>
      </c>
      <c r="AQ56" s="145" t="str">
        <f>MID(H56,1,1)</f>
        <v>1</v>
      </c>
      <c r="AR56" s="134">
        <f t="shared" si="1"/>
        <v>7</v>
      </c>
      <c r="AS56" s="146" t="str">
        <f>MID(J56,1,1)</f>
        <v>1</v>
      </c>
      <c r="AT56" s="134">
        <f t="shared" si="1"/>
        <v>7</v>
      </c>
      <c r="AU56" s="134" t="str">
        <f>MID(L56,1,1)</f>
        <v>3</v>
      </c>
      <c r="AV56" s="134">
        <f t="shared" si="1"/>
        <v>6</v>
      </c>
      <c r="AX56" s="134">
        <f t="shared" si="1"/>
        <v>0</v>
      </c>
      <c r="AY56" s="134" t="str">
        <f>MID(P56,1,1)</f>
        <v>2</v>
      </c>
      <c r="AZ56" s="134">
        <f t="shared" si="2"/>
        <v>1</v>
      </c>
      <c r="BA56" s="134" t="str">
        <f>MID(R56,1,1)</f>
        <v>1</v>
      </c>
      <c r="BB56" s="134">
        <f t="shared" si="2"/>
        <v>1</v>
      </c>
      <c r="BD56" s="134">
        <f t="shared" si="2"/>
        <v>0</v>
      </c>
      <c r="BF56" s="134">
        <f t="shared" si="2"/>
        <v>0</v>
      </c>
      <c r="BH56" s="134">
        <f t="shared" si="3"/>
        <v>0</v>
      </c>
      <c r="BJ56" s="134">
        <f t="shared" si="3"/>
        <v>0</v>
      </c>
      <c r="BL56" s="134">
        <f t="shared" si="3"/>
        <v>0</v>
      </c>
      <c r="BN56" s="134">
        <f t="shared" si="3"/>
        <v>0</v>
      </c>
      <c r="BP56" s="134">
        <f t="shared" si="4"/>
        <v>0</v>
      </c>
      <c r="BR56" s="134">
        <f t="shared" si="4"/>
        <v>0</v>
      </c>
      <c r="BT56" s="134">
        <f t="shared" si="4"/>
        <v>0</v>
      </c>
      <c r="BV56" s="134">
        <f t="shared" si="14"/>
        <v>3</v>
      </c>
      <c r="BW56" s="134">
        <f>VALUE(AO56)</f>
        <v>3</v>
      </c>
      <c r="BX56" s="145">
        <f>VALUE(AQ56)</f>
        <v>1</v>
      </c>
      <c r="BY56" s="146">
        <f t="shared" si="42"/>
        <v>1</v>
      </c>
      <c r="BZ56" s="134">
        <f>VALUE(AU56)</f>
        <v>3</v>
      </c>
      <c r="CB56" s="134">
        <f>VALUE(AY56)</f>
        <v>2</v>
      </c>
      <c r="CC56" s="134">
        <f t="shared" si="82"/>
        <v>1</v>
      </c>
      <c r="CL56" s="142"/>
      <c r="CX56" s="144"/>
      <c r="CY56" s="144"/>
      <c r="CZ56" s="144"/>
      <c r="DA56" s="134">
        <f>IF(AN55=2,AM55,1)*IF(AN56=2,AM56,1)*IF(AN57=2,AM57,1)*IF(AN58=2,AM58,1)*IF(AN59=2,AM59,1)*IF(AN60=2,AM60,1)*IF(AN61=2,AM61,1)</f>
        <v>1</v>
      </c>
      <c r="DB56" s="134">
        <f>IF(AP55=2,AO55,1)*IF(AP56=2,AO56,1)*IF(AP57=2,AO57,1)*IF(AP58=2,AO58,1)*IF(AP59=2,AO59,1)*IF(BV60=2,AN60,1)*IF(BV61=2,AN61,1)</f>
        <v>1</v>
      </c>
      <c r="DC56" s="134">
        <f>IF(AR55=2,AQ55,1)*IF(AR56=2,AQ56,1)*IF(AR57=2,AQ57,1)*IF(AR58=2,AQ58,1)*IF(AR59=2,AQ59,1)*IF(AR60=2,AQ60,1)*IF(AR61=2,AQ61,1)</f>
        <v>1</v>
      </c>
      <c r="DD56" s="134">
        <f>IF(AT55=2,AS55,1)*IF(AT56=2,AS56,1)*IF(AT57=2,AS57,1)*IF(AT58=2,AS58,1)*IF(AT59=2,AS59,1)*IF(AT60=2,AS60,1)*IF(AT61=2,AS61,1)</f>
        <v>1</v>
      </c>
      <c r="DE56" s="134">
        <f>IF(AV55=2,AU55,1)*IF(AV56=2,AU56,1)*IF(AV57=2,AU57,1)*IF(AV58=2,AU58,1)*IF(AV59=2,AU59,1)*IF(AV60=2,AU60,1)*IF(AV61=2,AU61,1)</f>
        <v>1</v>
      </c>
      <c r="DF56" s="134">
        <f>IF(AX55=2,AW55,1)*IF(AX56=2,AW56,1)*IF(AX57=2,AW57,1)*IF(AX58=2,AW58,1)*IF(AX59=2,AW59,1)*IF(AX60=2,AW60,1)*IF(AX61=2,AW61,1)</f>
        <v>1</v>
      </c>
      <c r="DG56" s="134">
        <f>IF(AZ55=2,AY55,1)*IF(AZ56=2,AY56,1)*IF(AZ57=2,AY57,1)*IF(AZ58=2,AY58,1)*IF(AZ59=2,AY59,1)*IF(AZ60=2,AY60,1)*IF(AZ61=2,AY61,1)</f>
        <v>1</v>
      </c>
      <c r="DH56" s="134">
        <f>IF(BB55=2,BA55,1)*IF(BB56=2,BA56,1)*IF(BB57=2,BA57,1)*IF(BB58=2,BA58,1)*IF(BB59=2,BA59,1)*IF(BB60=2,BA60,1)*IF(BB61=2,BA61,1)</f>
        <v>1</v>
      </c>
      <c r="DI56" s="134">
        <f>IF(BD55=2,BC55,1)*IF(BD56=2,BC56,1)*IF(BD57=2,BC57,1)*IF(BD58=2,BC58,1)*IF(BD59=2,BC59,1)*IF(BD60=2,BC60,1)*IF(BD61=2,BC61,1)</f>
        <v>1</v>
      </c>
      <c r="DJ56" s="134">
        <f>IF(BF55=2,BE55,1)*IF(BF56=2,BE56,1)*IF(BF57=2,BE57,1)*IF(BF58=2,BE58,1)*IF(BF59=2,BE59,1)*IF(BF60=2,BE60,1)*IF(BF61=2,BE61,1)</f>
        <v>1</v>
      </c>
      <c r="DK56" s="134">
        <f>IF(BH55=2,BG55,1)*IF(BH56=2,BG56,1)*IF(BH57=2,BG57,1)*IF(BH58=2,BG58,1)*IF(BH59=2,BG59,1)*IF(BH60=2,BG60,1)*IF(BH61=2,BG61,1)</f>
        <v>1</v>
      </c>
      <c r="DL56" s="134">
        <f>IF(BJ55=2,BI55,1)*IF(BJ56=2,BI56,1)*IF(BJ57=2,BI57,1)*IF(BJ58=2,BI58,1)*IF(BJ59=2,BI59,1)*IF(BJ60=2,BI60,1)*IF(BJ61=2,BI61,1)</f>
        <v>1</v>
      </c>
      <c r="DM56" s="134">
        <f>IF(BL55=2,BK55,1)*IF(BL56=2,BK56,1)*IF(BL57=2,BK57,1)*IF(BL58=2,BK58,1)*IF(BL59=2,BK59,1)*IF(BL60=2,BK60,1)*IF(BL61=2,BK61,1)</f>
        <v>1</v>
      </c>
      <c r="DN56" s="134">
        <f>IF(BN55=2,BM55,1)*IF(BN56=2,BM56,1)*IF(BN57=2,BM57,1)*IF(BN58=2,BM58,1)*IF(BN59=2,BM59,1)*IF(BN60=2,BM60,1)*IF(BN61=2,BM61,1)</f>
        <v>1</v>
      </c>
      <c r="DO56" s="134">
        <f>IF(BP55=2,BO55,1)*IF(BP56=2,BO56,1)*IF(BP57=2,BO57,1)*IF(BP58=2,BO58,1)*IF(BP59=2,BO59,1)*IF(BP60=2,BO60,1)*IF(BP61=2,BO61,1)</f>
        <v>1</v>
      </c>
      <c r="DP56" s="134">
        <f>IF(BR55=2,BQ55,1)*IF(BR56=2,BQ56,1)*IF(BR57=2,BQ57,1)*IF(BR58=2,BQ58,1)*IF(BR59=2,BQ59,1)*IF(BR60=2,BQ60,1)*IF(BR61=2,BQ61,1)</f>
        <v>1</v>
      </c>
      <c r="DQ56" s="144">
        <f t="shared" si="83"/>
        <v>1</v>
      </c>
    </row>
    <row r="57" spans="2:122" x14ac:dyDescent="0.25">
      <c r="B57" s="134">
        <v>3</v>
      </c>
      <c r="C57" s="135" t="s">
        <v>278</v>
      </c>
      <c r="D57" s="134" t="str">
        <f>'Descripcion Actividades'!C18</f>
        <v>1 El proceso es de común conocimiento no tiene restricciones de uso.</v>
      </c>
      <c r="E57" s="134">
        <v>5</v>
      </c>
      <c r="F57" s="134" t="str">
        <f>'Descripcion Actividades'!C33</f>
        <v>1 Los conocimientos o las habilidades requeridos son comunes, muchas personas cuentan con ellos.</v>
      </c>
      <c r="G57" s="134">
        <v>5</v>
      </c>
      <c r="L57" s="134" t="str">
        <f>'Descripcion Actividades'!C114</f>
        <v>3 Las actividades a realizar requieren de un nivel de direccionamiento y control elaborado. El personal puede actuar con limitado grado de autonomía.</v>
      </c>
      <c r="M57" s="134">
        <v>6</v>
      </c>
      <c r="P57" s="134" t="str">
        <f>'Descripcion Actividades'!C127</f>
        <v>3 La ejecución del contrato se hace en lugares dispersos en un mismo departamento.</v>
      </c>
      <c r="Q57" s="134">
        <v>1</v>
      </c>
      <c r="R57" s="134" t="str">
        <f>'Descripcion Actividades'!C135</f>
        <v>2 El lugar para la ejecución del contrato es de fácil acceso y pero los tiempos para acceder pueden variar.</v>
      </c>
      <c r="S57" s="134">
        <v>1</v>
      </c>
      <c r="AM57" s="134" t="str">
        <f t="shared" si="21"/>
        <v>1</v>
      </c>
      <c r="AN57" s="134">
        <f t="shared" si="6"/>
        <v>5</v>
      </c>
      <c r="AO57" s="134" t="str">
        <f t="shared" si="22"/>
        <v>1</v>
      </c>
      <c r="AP57" s="134">
        <f t="shared" si="7"/>
        <v>5</v>
      </c>
      <c r="AR57" s="134">
        <f t="shared" si="1"/>
        <v>0</v>
      </c>
      <c r="AT57" s="134">
        <f t="shared" si="1"/>
        <v>0</v>
      </c>
      <c r="AU57" s="134" t="str">
        <f>MID(L57,1,1)</f>
        <v>3</v>
      </c>
      <c r="AV57" s="134">
        <f t="shared" si="1"/>
        <v>6</v>
      </c>
      <c r="AX57" s="134">
        <f t="shared" si="1"/>
        <v>0</v>
      </c>
      <c r="AY57" s="134" t="str">
        <f>MID(P57,1,1)</f>
        <v>3</v>
      </c>
      <c r="AZ57" s="134">
        <f t="shared" si="2"/>
        <v>1</v>
      </c>
      <c r="BA57" s="134" t="str">
        <f>MID(R57,1,1)</f>
        <v>2</v>
      </c>
      <c r="BB57" s="134">
        <f t="shared" si="2"/>
        <v>1</v>
      </c>
      <c r="BD57" s="134">
        <f t="shared" si="2"/>
        <v>0</v>
      </c>
      <c r="BF57" s="134">
        <f t="shared" si="2"/>
        <v>0</v>
      </c>
      <c r="BH57" s="134">
        <f t="shared" si="3"/>
        <v>0</v>
      </c>
      <c r="BJ57" s="134">
        <f t="shared" si="3"/>
        <v>0</v>
      </c>
      <c r="BL57" s="134">
        <f t="shared" si="3"/>
        <v>0</v>
      </c>
      <c r="BN57" s="134">
        <f t="shared" si="3"/>
        <v>0</v>
      </c>
      <c r="BP57" s="134">
        <f t="shared" si="4"/>
        <v>0</v>
      </c>
      <c r="BR57" s="134">
        <f t="shared" si="4"/>
        <v>0</v>
      </c>
      <c r="BT57" s="134">
        <f t="shared" si="4"/>
        <v>0</v>
      </c>
      <c r="BV57" s="134">
        <f t="shared" si="14"/>
        <v>1</v>
      </c>
      <c r="BW57" s="134">
        <f>VALUE(AO57)</f>
        <v>1</v>
      </c>
      <c r="BZ57" s="134">
        <f>VALUE(AU57)</f>
        <v>3</v>
      </c>
      <c r="CB57" s="134">
        <f>VALUE(AY57)</f>
        <v>3</v>
      </c>
      <c r="CC57" s="134">
        <f t="shared" si="82"/>
        <v>2</v>
      </c>
      <c r="CL57" s="142"/>
      <c r="CX57" s="144"/>
      <c r="CY57" s="144"/>
      <c r="CZ57" s="144"/>
      <c r="DA57" s="134">
        <f>IF(AN55=3,AM55,1)*IF(AN56=3,AM56,1)*IF(AN57=3,AM57,1)*IF(AN58=3,AM58,1)*IF(AN59=3,AM59,1)*IF(AN60=3,AM60,1)*IF(AN61=3,AM61,1)</f>
        <v>1</v>
      </c>
      <c r="DB57" s="134">
        <f>IF(AP55=3,AO55,1)*IF(AP56=3,AO56,1)*IF(AP57=3,AO57,1)*IF(AP58=3,AO58,1)*IF(AP59=3,AO59,1)*IF(BV60=3,AN60,1)*IF(BV61=3,AN61,1)</f>
        <v>1</v>
      </c>
      <c r="DC57" s="134">
        <f>IF(AR55=3,AQ55,1)*IF(AR56=3,AQ56,1)*IF(AR57=3,AQ57,1)*IF(AR58=3,AQ58,1)*IF(AR59=3,AQ59,1)*IF(AR60=3,AQ60,1)*IF(AR61=3,AQ61,1)</f>
        <v>1</v>
      </c>
      <c r="DD57" s="134">
        <f>IF(AT55=3,AS55,1)*IF(AT56=3,AS56,1)*IF(AT57=3,AS57,1)*IF(AT58=3,AS58,1)*IF(AT59=3,AS59,1)*IF(AT60=3,AS60,1)*IF(AT61=3,AS61,1)</f>
        <v>1</v>
      </c>
      <c r="DE57" s="134">
        <f>IF(AV55=3,AU55,1)*IF(AV56=3,AU56,1)*IF(AV57=3,AU57,1)*IF(AV58=3,AU58,1)*IF(AV59=3,AU59,1)*IF(AV60=3,AU60,1)*IF(AV61=3,AU61,1)</f>
        <v>1</v>
      </c>
      <c r="DF57" s="134">
        <f>IF(AX55=3,AW55,1)*IF(AX56=3,AW56,1)*IF(AX57=3,AW57,1)*IF(AX58=3,AW58,1)*IF(AX59=3,AW59,1)*IF(AX60=3,AW60,1)*IF(AX61=3,AW61,1)</f>
        <v>1</v>
      </c>
      <c r="DG57" s="134">
        <f>IF(AZ55=3,AY55,1)*IF(AZ56=3,AY56,1)*IF(AZ57=3,AY57,1)*IF(AZ58=3,AY58,1)*IF(AZ59=3,AY59,1)*IF(AZ60=3,AY60,1)*IF(AZ61=3,AY61,1)</f>
        <v>1</v>
      </c>
      <c r="DH57" s="134">
        <f>IF(BB55=3,BA55,1)*IF(BB56=3,BA56,1)*IF(BB57=3,BA57,1)*IF(BB58=3,BA58,1)*IF(BB59=3,BA59,1)*IF(BB60=3,BA60,1)*IF(BB61=3,BA61,1)</f>
        <v>1</v>
      </c>
      <c r="DI57" s="134">
        <f>IF(BD55=3,BC55,1)*IF(BD56=3,BC56,1)*IF(BD57=3,BC57,1)*IF(BD58=3,BC58,1)*IF(BD59=3,BC59,1)*IF(BD60=3,BC60,1)*IF(BD61=3,BC61,1)</f>
        <v>1</v>
      </c>
      <c r="DJ57" s="134">
        <f>IF(BF55=3,BE55,1)*IF(BF56=3,BE56,1)*IF(BF57=3,BE57,1)*IF(BF58=3,BE58,1)*IF(BF59=3,BE59,1)*IF(BF60=3,BE60,1)*IF(BF61=3,BE61,1)</f>
        <v>1</v>
      </c>
      <c r="DK57" s="134">
        <f>IF(BH55=3,BG55,1)*IF(BH56=3,BG56,1)*IF(BH57=3,BG57,1)*IF(BH58=3,BG58,1)*IF(BH59=3,BG59,1)*IF(BH60=3,BG60,1)*IF(BH61=3,BG61,1)</f>
        <v>1</v>
      </c>
      <c r="DL57" s="134">
        <f>IF(BJ55=3,BI55,1)*IF(BJ56=3,BI56,1)*IF(BJ57=3,BI57,1)*IF(BJ58=3,BI58,1)*IF(BJ59=3,BI59,1)*IF(BJ60=3,BI60,1)*IF(BJ61=3,BI61,1)</f>
        <v>1</v>
      </c>
      <c r="DM57" s="134">
        <f>IF(BL55=3,BK55,1)*IF(BL56=3,BK56,1)*IF(BL57=3,BK57,1)*IF(BL58=3,BK58,1)*IF(BL59=3,BK59,1)*IF(BL60=3,BK60,1)*IF(BL61=3,BK61,1)</f>
        <v>1</v>
      </c>
      <c r="DN57" s="134">
        <f>IF(BN55=3,BM55,1)*IF(BN56=3,BM56,1)*IF(BN57=3,BM57,1)*IF(BN58=3,BM58,1)*IF(BN59=3,BM59,1)*IF(BN60=3,BM60,1)*IF(BN61=3,BM61,1)</f>
        <v>1</v>
      </c>
      <c r="DO57" s="134">
        <f>IF(BP55=3,BO55,1)*IF(BP56=3,BO56,1)*IF(BP57=3,BO57,1)*IF(BP58=3,BO58,1)*IF(BP59=3,BO59,1)*IF(BP60=3,BO60,1)*IF(BP61=3,BO61,1)</f>
        <v>1</v>
      </c>
      <c r="DP57" s="134">
        <f>IF(BR55=3,BQ55,1)*IF(BR56=3,BQ56,1)*IF(BR57=3,BQ57,1)*IF(BR58=3,BQ58,1)*IF(BR59=3,BQ59,1)*IF(BR60=3,BQ60,1)*IF(BR61=3,BQ61,1)</f>
        <v>1</v>
      </c>
      <c r="DQ57" s="144">
        <f t="shared" si="83"/>
        <v>1</v>
      </c>
    </row>
    <row r="58" spans="2:122" x14ac:dyDescent="0.25">
      <c r="B58" s="134">
        <v>4</v>
      </c>
      <c r="C58" s="135" t="s">
        <v>279</v>
      </c>
      <c r="D58" s="134" t="str">
        <f>'Descripcion Actividades'!C22</f>
        <v>2 Se requieren permisos y licencias para la realización de las actividades por parte de autoridad competente que regula la actividad.</v>
      </c>
      <c r="E58" s="134">
        <v>5</v>
      </c>
      <c r="F58" s="134" t="str">
        <f>'Descripcion Actividades'!C35</f>
        <v>2 Se requiere al menos de una acreditación específica para la ejecución del contrato.</v>
      </c>
      <c r="G58" s="134">
        <v>5</v>
      </c>
      <c r="R58" s="134" t="str">
        <f>'Descripcion Actividades'!C137</f>
        <v>1 La obra contempla actividades a nivel de piso.</v>
      </c>
      <c r="S58" s="134">
        <v>1</v>
      </c>
      <c r="AM58" s="134" t="str">
        <f t="shared" si="21"/>
        <v>2</v>
      </c>
      <c r="AN58" s="134">
        <f t="shared" si="6"/>
        <v>5</v>
      </c>
      <c r="AO58" s="134" t="str">
        <f t="shared" si="22"/>
        <v>2</v>
      </c>
      <c r="AP58" s="134">
        <f t="shared" si="7"/>
        <v>5</v>
      </c>
      <c r="AR58" s="134">
        <f t="shared" si="1"/>
        <v>0</v>
      </c>
      <c r="AT58" s="134">
        <f t="shared" si="1"/>
        <v>0</v>
      </c>
      <c r="AV58" s="134">
        <f t="shared" si="1"/>
        <v>0</v>
      </c>
      <c r="AX58" s="134">
        <f t="shared" si="1"/>
        <v>0</v>
      </c>
      <c r="AZ58" s="134">
        <f t="shared" si="2"/>
        <v>0</v>
      </c>
      <c r="BA58" s="134" t="str">
        <f>MID(R58,1,1)</f>
        <v>1</v>
      </c>
      <c r="BB58" s="134">
        <f t="shared" si="2"/>
        <v>1</v>
      </c>
      <c r="BD58" s="134">
        <f t="shared" si="2"/>
        <v>0</v>
      </c>
      <c r="BF58" s="134">
        <f t="shared" si="2"/>
        <v>0</v>
      </c>
      <c r="BH58" s="134">
        <f t="shared" si="3"/>
        <v>0</v>
      </c>
      <c r="BJ58" s="134">
        <f t="shared" si="3"/>
        <v>0</v>
      </c>
      <c r="BL58" s="134">
        <f t="shared" si="3"/>
        <v>0</v>
      </c>
      <c r="BN58" s="134">
        <f t="shared" si="3"/>
        <v>0</v>
      </c>
      <c r="BP58" s="134">
        <f t="shared" si="4"/>
        <v>0</v>
      </c>
      <c r="BR58" s="134">
        <f t="shared" si="4"/>
        <v>0</v>
      </c>
      <c r="BT58" s="134">
        <f t="shared" si="4"/>
        <v>0</v>
      </c>
      <c r="BV58" s="134">
        <f t="shared" si="14"/>
        <v>2</v>
      </c>
      <c r="BW58" s="134">
        <f>VALUE(AO58)</f>
        <v>2</v>
      </c>
      <c r="CC58" s="134">
        <f t="shared" si="82"/>
        <v>1</v>
      </c>
      <c r="CL58" s="142"/>
      <c r="CX58" s="144"/>
      <c r="CY58" s="144"/>
      <c r="CZ58" s="144"/>
      <c r="DA58" s="134">
        <f>IF(AN55=4,AM55,1)*IF(AN56=4,AM56,1)*IF(AN57=4,AM57,1)*IF(AN58=4,AM58,1)*IF(AN59=4,AM59,1)*IF(AN60=4,AM60,1)*IF(AN61=4,AM61,1)</f>
        <v>1</v>
      </c>
      <c r="DB58" s="134">
        <f>IF(AP55=4,AO55,1)*IF(AP56=4,AO56,1)*IF(AP57=4,AO57,1)*IF(AP58=4,AO58,1)*IF(AP59=4,AO59,1)*IF(BV60=4,AN60,1)*IF(BV61=4,AN61,1)</f>
        <v>6</v>
      </c>
      <c r="DC58" s="134">
        <f>IF(AR55=4,AQ55,1)*IF(AR56=4,AQ56,1)*IF(AR57=4,AQ57,1)*IF(AR58=4,AQ58,1)*IF(AR59=4,AQ59,1)*IF(AR60=4,AQ60,1)*IF(AR61=4,AQ61,1)</f>
        <v>1</v>
      </c>
      <c r="DD58" s="134">
        <f>IF(AT55=4,AS55,1)*IF(AT56=4,AS56,1)*IF(AT57=4,AS57,1)*IF(AT58=4,AS58,1)*IF(AT59=4,AS59,1)*IF(AT60=4,AS60,1)*IF(AT61=4,AS61,1)</f>
        <v>1</v>
      </c>
      <c r="DE58" s="134">
        <f>IF(AV55=4,AU55,1)*IF(AV56=4,AU56,1)*IF(AV57=4,AU57,1)*IF(AV58=4,AU58,1)*IF(AV59=4,AU59,1)*IF(AV60=4,AU60,1)*IF(AV61=4,AU61,1)</f>
        <v>1</v>
      </c>
      <c r="DF58" s="134">
        <f>IF(AX55=4,AW55,1)*IF(AX56=4,AW56,1)*IF(AX57=4,AW57,1)*IF(AX58=4,AW58,1)*IF(AX59=4,AW59,1)*IF(AX60=4,AW60,1)*IF(AX61=4,AW61,1)</f>
        <v>1</v>
      </c>
      <c r="DG58" s="134">
        <f>IF(AZ55=4,AY55,1)*IF(AZ56=4,AY56,1)*IF(AZ57=4,AY57,1)*IF(AZ58=4,AY58,1)*IF(AZ59=4,AY59,1)*IF(AZ60=4,AY60,1)*IF(AZ61=4,AY61,1)</f>
        <v>1</v>
      </c>
      <c r="DH58" s="134">
        <f>IF(BB55=4,BA55,1)*IF(BB56=4,BA56,1)*IF(BB57=4,BA57,1)*IF(BB58=4,BA58,1)*IF(BB59=4,BA59,1)*IF(BB60=4,BA60,1)*IF(BB61=4,BA61,1)</f>
        <v>1</v>
      </c>
      <c r="DI58" s="134">
        <f>IF(BD55=4,BC55,1)*IF(BD56=4,BC56,1)*IF(BD57=4,BC57,1)*IF(BD58=4,BC58,1)*IF(BD59=4,BC59,1)*IF(BD60=4,BC60,1)*IF(BD61=4,BC61,1)</f>
        <v>1</v>
      </c>
      <c r="DJ58" s="134">
        <f>IF(BF55=4,BE55,1)*IF(BF56=4,BE56,1)*IF(BF57=4,BE57,1)*IF(BF58=4,BE58,1)*IF(BF59=4,BE59,1)*IF(BF60=4,BE60,1)*IF(BF61=4,BE61,1)</f>
        <v>1</v>
      </c>
      <c r="DK58" s="134">
        <f>IF(BH55=4,BG55,1)*IF(BH56=4,BG56,1)*IF(BH57=4,BG57,1)*IF(BH58=4,BG58,1)*IF(BH59=4,BG59,1)*IF(BH60=4,BG60,1)*IF(BH61=4,BG61,1)</f>
        <v>1</v>
      </c>
      <c r="DL58" s="134">
        <f>IF(BJ55=4,BI55,1)*IF(BJ56=4,BI56,1)*IF(BJ57=4,BI57,1)*IF(BJ58=4,BI58,1)*IF(BJ59=4,BI59,1)*IF(BJ60=4,BI60,1)*IF(BJ61=4,BI61,1)</f>
        <v>1</v>
      </c>
      <c r="DM58" s="134">
        <f>IF(BL55=4,BK55,1)*IF(BL56=4,BK56,1)*IF(BL57=4,BK57,1)*IF(BL58=4,BK58,1)*IF(BL59=4,BK59,1)*IF(BL60=4,BK60,1)*IF(BL61=4,BK61,1)</f>
        <v>1</v>
      </c>
      <c r="DN58" s="134">
        <f>IF(BN55=4,BM55,1)*IF(BN56=4,BM56,1)*IF(BN57=4,BM57,1)*IF(BN58=4,BM58,1)*IF(BN59=4,BM59,1)*IF(BN60=4,BM60,1)*IF(BN61=4,BM61,1)</f>
        <v>1</v>
      </c>
      <c r="DO58" s="134">
        <f>IF(BP55=4,BO55,1)*IF(BP56=4,BO56,1)*IF(BP57=4,BO57,1)*IF(BP58=4,BO58,1)*IF(BP59=4,BO59,1)*IF(BP60=4,BO60,1)*IF(BP61=4,BO61,1)</f>
        <v>1</v>
      </c>
      <c r="DP58" s="134">
        <f>IF(BR55=4,BQ55,1)*IF(BR56=4,BQ56,1)*IF(BR57=4,BQ57,1)*IF(BR58=4,BQ58,1)*IF(BR59=4,BQ59,1)*IF(BR60=4,BQ60,1)*IF(BR61=4,BQ61,1)</f>
        <v>1</v>
      </c>
      <c r="DQ58" s="144">
        <f t="shared" si="83"/>
        <v>6</v>
      </c>
    </row>
    <row r="59" spans="2:122" x14ac:dyDescent="0.25">
      <c r="B59" s="134">
        <v>5</v>
      </c>
      <c r="C59" s="135" t="s">
        <v>280</v>
      </c>
      <c r="R59" s="134" t="str">
        <f>'Descripcion Actividades'!C139</f>
        <v>1 La obra no contempla  actividades de excavación, cimentación o instalación de estructuras elevadas o de elementos de gran tamaño y elevado peso.</v>
      </c>
      <c r="S59" s="134">
        <v>1</v>
      </c>
      <c r="AN59" s="134">
        <f t="shared" si="6"/>
        <v>0</v>
      </c>
      <c r="AP59" s="134">
        <f t="shared" si="7"/>
        <v>0</v>
      </c>
      <c r="AR59" s="134">
        <f t="shared" si="1"/>
        <v>0</v>
      </c>
      <c r="AT59" s="134">
        <f t="shared" si="1"/>
        <v>0</v>
      </c>
      <c r="AV59" s="134">
        <f t="shared" si="1"/>
        <v>0</v>
      </c>
      <c r="AX59" s="134">
        <f t="shared" si="1"/>
        <v>0</v>
      </c>
      <c r="AZ59" s="134">
        <f t="shared" si="2"/>
        <v>0</v>
      </c>
      <c r="BA59" s="134" t="str">
        <f>MID(R59,1,1)</f>
        <v>1</v>
      </c>
      <c r="BB59" s="134">
        <f t="shared" si="2"/>
        <v>1</v>
      </c>
      <c r="BD59" s="134">
        <f t="shared" si="2"/>
        <v>0</v>
      </c>
      <c r="BF59" s="134">
        <f t="shared" si="2"/>
        <v>0</v>
      </c>
      <c r="BH59" s="134">
        <f t="shared" si="3"/>
        <v>0</v>
      </c>
      <c r="BJ59" s="134">
        <f t="shared" si="3"/>
        <v>0</v>
      </c>
      <c r="BL59" s="134">
        <f t="shared" si="3"/>
        <v>0</v>
      </c>
      <c r="BN59" s="134">
        <f t="shared" si="3"/>
        <v>0</v>
      </c>
      <c r="BP59" s="134">
        <f t="shared" si="4"/>
        <v>0</v>
      </c>
      <c r="BR59" s="134">
        <f t="shared" si="4"/>
        <v>0</v>
      </c>
      <c r="BT59" s="134">
        <f t="shared" si="4"/>
        <v>0</v>
      </c>
      <c r="CC59" s="134">
        <f t="shared" si="82"/>
        <v>1</v>
      </c>
      <c r="CL59" s="142"/>
      <c r="CX59" s="144"/>
      <c r="CY59" s="144"/>
      <c r="CZ59" s="144"/>
      <c r="DA59" s="134">
        <f>IF(AN55=5,AM55,1)*IF(AN56=5,AM56,1)*IF(AN57=5,AM57,1)*IF(AN58=5,AM58,1)*IF(AN59=5,AM59,1)*IF(AN60=5,AM60,1)*IF(AN61=5,AM61,1)</f>
        <v>2</v>
      </c>
      <c r="DB59" s="134">
        <f>IF(AP55=5,AO55,1)*IF(AP56=5,AO56,1)*IF(AP57=5,AO57,1)*IF(AP58=5,AO58,1)*IF(AP59=5,AO59,1)*IF(BV60=5,AN60,1)*IF(BV61=5,AN61,1)</f>
        <v>2</v>
      </c>
      <c r="DC59" s="134">
        <f>IF(AR55=5,AQ55,1)*IF(AR56=5,AQ56,1)*IF(AR57=5,AQ57,1)*IF(AR58=5,AQ58,1)*IF(AR59=5,AQ59,1)*IF(AR60=5,AQ60,1)*IF(AR61=5,AQ61,1)</f>
        <v>1</v>
      </c>
      <c r="DD59" s="134">
        <f>IF(AT55=5,AS55,1)*IF(AT56=5,AS56,1)*IF(AT57=5,AS57,1)*IF(AT58=5,AS58,1)*IF(AT59=5,AS59,1)*IF(AT60=5,AS60,1)*IF(AT61=5,AS61,1)</f>
        <v>1</v>
      </c>
      <c r="DE59" s="134">
        <f>IF(AV55=5,AU55,1)*IF(AV56=5,AU56,1)*IF(AV57=5,AU57,1)*IF(AV58=5,AU58,1)*IF(AV59=5,AU59,1)*IF(AV60=5,AU60,1)*IF(AV61=5,AU61,1)</f>
        <v>1</v>
      </c>
      <c r="DF59" s="134">
        <f>IF(AX55=5,AW55,1)*IF(AX56=5,AW56,1)*IF(AX57=5,AW57,1)*IF(AX58=5,AW58,1)*IF(AX59=5,AW59,1)*IF(AX60=5,AW60,1)*IF(AX61=5,AW61,1)</f>
        <v>1</v>
      </c>
      <c r="DG59" s="134">
        <f>IF(AZ55=5,AY55,1)*IF(AZ56=5,AY56,1)*IF(AZ57=5,AY57,1)*IF(AZ58=5,AY58,1)*IF(AZ59=5,AY59,1)*IF(AZ60=5,AY60,1)*IF(AZ61=5,AY61,1)</f>
        <v>1</v>
      </c>
      <c r="DH59" s="134">
        <f>IF(BB55=5,BA55,1)*IF(BB56=5,BA56,1)*IF(BB57=5,BA57,1)*IF(BB58=5,BA58,1)*IF(BB59=5,BA59,1)*IF(BB60=5,BA60,1)*IF(BB61=5,BA61,1)</f>
        <v>1</v>
      </c>
      <c r="DI59" s="134">
        <f>IF(BD55=5,BC55,1)*IF(BD56=5,BC56,1)*IF(BD57=5,BC57,1)*IF(BD58=5,BC58,1)*IF(BD59=5,BC59,1)*IF(BD60=5,BC60,1)*IF(BD61=5,BC61,1)</f>
        <v>1</v>
      </c>
      <c r="DJ59" s="134">
        <f>IF(BF55=5,BE55,1)*IF(BF56=5,BE56,1)*IF(BF57=5,BE57,1)*IF(BF58=5,BE58,1)*IF(BF59=5,BE59,1)*IF(BF60=5,BE60,1)*IF(BF61=5,BE61,1)</f>
        <v>1</v>
      </c>
      <c r="DK59" s="134">
        <f>IF(BH55=5,BG55,1)*IF(BH56=5,BG56,1)*IF(BH57=5,BG57,1)*IF(BH58=5,BG58,1)*IF(BH59=5,BG59,1)*IF(BH60=5,BG60,1)*IF(BH61=5,BG61,1)</f>
        <v>1</v>
      </c>
      <c r="DL59" s="134">
        <f>IF(BJ55=5,BI55,1)*IF(BJ56=5,BI56,1)*IF(BJ57=5,BI57,1)*IF(BJ58=5,BI58,1)*IF(BJ59=5,BI59,1)*IF(BJ60=5,BI60,1)*IF(BJ61=5,BI61,1)</f>
        <v>1</v>
      </c>
      <c r="DM59" s="134">
        <f>IF(BL55=5,BK55,1)*IF(BL56=5,BK56,1)*IF(BL57=5,BK57,1)*IF(BL58=5,BK58,1)*IF(BL59=5,BK59,1)*IF(BL60=5,BK60,1)*IF(BL61=5,BK61,1)</f>
        <v>1</v>
      </c>
      <c r="DN59" s="134">
        <f>IF(BN55=5,BM55,1)*IF(BN56=5,BM56,1)*IF(BN57=5,BM57,1)*IF(BN58=5,BM58,1)*IF(BN59=5,BM59,1)*IF(BN60=5,BM60,1)*IF(BN61=5,BM61,1)</f>
        <v>1</v>
      </c>
      <c r="DO59" s="134">
        <f>IF(BP55=5,BO55,1)*IF(BP56=5,BO56,1)*IF(BP57=5,BO57,1)*IF(BP58=5,BO58,1)*IF(BP59=5,BO59,1)*IF(BP60=5,BO60,1)*IF(BP61=5,BO61,1)</f>
        <v>1</v>
      </c>
      <c r="DP59" s="134">
        <f>IF(BR55=5,BQ55,1)*IF(BR56=5,BQ56,1)*IF(BR57=5,BQ57,1)*IF(BR58=5,BQ58,1)*IF(BR59=5,BQ59,1)*IF(BR60=1,BQ60,1)*IF(BR61=5,BQ61,1)</f>
        <v>1</v>
      </c>
      <c r="DQ59" s="144">
        <f t="shared" si="83"/>
        <v>4</v>
      </c>
    </row>
    <row r="60" spans="2:122" x14ac:dyDescent="0.25">
      <c r="B60" s="134">
        <v>6</v>
      </c>
      <c r="C60" s="135" t="s">
        <v>281</v>
      </c>
      <c r="R60" s="134" t="str">
        <f>'Descripcion Actividades'!C141</f>
        <v>1 La obra no contempla actividades bajo el agua.</v>
      </c>
      <c r="S60" s="134">
        <v>1</v>
      </c>
      <c r="AN60" s="134">
        <f t="shared" si="6"/>
        <v>0</v>
      </c>
      <c r="AP60" s="134">
        <f t="shared" si="7"/>
        <v>0</v>
      </c>
      <c r="AR60" s="134">
        <f t="shared" si="1"/>
        <v>0</v>
      </c>
      <c r="AT60" s="134">
        <f t="shared" si="1"/>
        <v>0</v>
      </c>
      <c r="AV60" s="134">
        <f t="shared" si="1"/>
        <v>0</v>
      </c>
      <c r="AX60" s="134">
        <f t="shared" si="1"/>
        <v>0</v>
      </c>
      <c r="AZ60" s="134">
        <f t="shared" si="2"/>
        <v>0</v>
      </c>
      <c r="BA60" s="134" t="str">
        <f>MID(R60,1,1)</f>
        <v>1</v>
      </c>
      <c r="BB60" s="134">
        <f t="shared" si="2"/>
        <v>1</v>
      </c>
      <c r="BD60" s="134">
        <f t="shared" si="2"/>
        <v>0</v>
      </c>
      <c r="BF60" s="134">
        <f t="shared" si="2"/>
        <v>0</v>
      </c>
      <c r="BH60" s="134">
        <f t="shared" si="3"/>
        <v>0</v>
      </c>
      <c r="BJ60" s="134">
        <f t="shared" si="3"/>
        <v>0</v>
      </c>
      <c r="BL60" s="134">
        <f t="shared" si="3"/>
        <v>0</v>
      </c>
      <c r="BN60" s="134">
        <f t="shared" si="3"/>
        <v>0</v>
      </c>
      <c r="BP60" s="134">
        <f t="shared" si="4"/>
        <v>0</v>
      </c>
      <c r="BR60" s="134">
        <f t="shared" si="4"/>
        <v>0</v>
      </c>
      <c r="BT60" s="134">
        <f t="shared" si="4"/>
        <v>0</v>
      </c>
      <c r="CC60" s="134">
        <f t="shared" si="82"/>
        <v>1</v>
      </c>
      <c r="CL60" s="142"/>
      <c r="CX60" s="144"/>
      <c r="CY60" s="144"/>
      <c r="CZ60" s="144"/>
      <c r="DA60" s="134">
        <f>IF(AN55=6,AM55,1)*IF(AN56=6,AM56,1)*IF(AN57=6,AM57,1)*IF(AN58=6,AM58,1)*IF(AN59=6,AM59,1)*IF(AN60=6,AM60,1)*IF(AN61=6,AM61,1)</f>
        <v>1</v>
      </c>
      <c r="DB60" s="134">
        <f>IF(AP55=6,AO55,1)*IF(AP56=6,AO56,1)*IF(AP57=6,AO57,1)*IF(AP58=6,AO58,1)*IF(AP59=6,AO59,1)*IF(BV60=6,AN60,1)*IF(BV61=6,AN61,1)</f>
        <v>1</v>
      </c>
      <c r="DC60" s="134">
        <f>IF(AR55=6,AQ55,1)*IF(AR56=6,AQ56,1)*IF(AR57=6,AQ57,1)*IF(AR58=6,AQ58,1)*IF(AR59=6,AQ59,1)*IF(AR60=6,AQ60,1)*IF(AR61=6,AQ61,1)</f>
        <v>1</v>
      </c>
      <c r="DD60" s="134">
        <f>IF(AT55=6,AS55,1)*IF(AT56=6,AS56,1)*IF(AT57=6,AS57,1)*IF(AT58=6,AS58,1)*IF(AT59=6,AS59,1)*IF(AT60=6,AS60,1)*IF(AT61=6,AS61,1)</f>
        <v>1</v>
      </c>
      <c r="DE60" s="134">
        <f>IF(AV55=6,AU55,1)*IF(AV56=6,AU56,1)*IF(AV57=6,AU57,1)*IF(AV58=6,AU58,1)*IF(AV59=6,AU59,1)*IF(AV60=6,AU60,1)*IF(AV61=6,AU61,1)</f>
        <v>27</v>
      </c>
      <c r="DF60" s="134">
        <f>IF(AX55=6,AW55,1)*IF(AX56=6,AW56,1)*IF(AX57=6,AW57,1)*IF(AX58=6,AW58,1)*IF(AX59=6,AW59,1)*IF(AX60=6,AW60,1)*IF(AX61=6,AW61,1)</f>
        <v>2</v>
      </c>
      <c r="DG60" s="134">
        <f>IF(AZ55=6,AY55,1)*IF(AZ56=6,AY56,1)*IF(AZ57=6,AY57,1)*IF(AZ58=6,AY58,1)*IF(AZ59=6,AY59,1)*IF(AZ60=6,AY60,1)*IF(AZ61=6,AY61,1)</f>
        <v>1</v>
      </c>
      <c r="DH60" s="134">
        <f>IF(BB55=6,BA55,1)*IF(BB56=6,BA56,1)*IF(BB57=6,BA57,1)*IF(BB58=6,BA58,1)*IF(BB59=6,BA59,1)*IF(BB60=6,BA60,1)*IF(BB61=6,BA61,1)</f>
        <v>1</v>
      </c>
      <c r="DI60" s="134">
        <f>IF(BD55=6,BC55,1)*IF(BD56=6,BC56,1)*IF(BD57=6,BC57,1)*IF(BD58=6,BC58,1)*IF(BD59=6,BC59,1)*IF(BD60=6,BC60,1)*IF(BD61=6,BC61,1)</f>
        <v>1</v>
      </c>
      <c r="DJ60" s="134">
        <f>IF(BF55=6,BE55,1)*IF(BF56=6,BE56,1)*IF(BF57=6,BE57,1)*IF(BF58=6,BE58,1)*IF(BF59=6,BE59,1)*IF(BF60=6,BE60,1)*IF(BF61=6,BE61,1)</f>
        <v>1</v>
      </c>
      <c r="DK60" s="134">
        <f>IF(BH55=6,BG55,1)*IF(BH56=6,BG56,1)*IF(BH57=6,BG57,1)*IF(BH58=6,BG58,1)*IF(BH59=6,BG59,1)*IF(BH60=6,BG60,1)*IF(BH61=6,BG61,1)</f>
        <v>1</v>
      </c>
      <c r="DL60" s="134">
        <f>IF(BJ55=6,BI55,1)*IF(BJ56=6,BI56,1)*IF(BJ57=6,BI57,1)*IF(BJ58=6,BI58,1)*IF(BJ59=6,BI59,1)*IF(BJ60=6,BI60,1)*IF(BJ61=6,BI61,1)</f>
        <v>1</v>
      </c>
      <c r="DM60" s="134">
        <f>IF(BL55=6,BK55,1)*IF(BL56=6,BK56,1)*IF(BL57=6,BK57,1)*IF(BL58=6,BK58,1)*IF(BL59=6,BK59,1)*IF(BL60=6,BK60,1)*IF(BL61=6,BK61,1)</f>
        <v>1</v>
      </c>
      <c r="DN60" s="134">
        <f>IF(BN55=6,BM55,1)*IF(BN56=6,BM56,1)*IF(BN57=6,BM57,1)*IF(BN58=6,BM58,1)*IF(BN59=6,BM59,1)*IF(BN60=6,BM60,1)*IF(BN61=6,BM61,1)</f>
        <v>1</v>
      </c>
      <c r="DO60" s="134">
        <f>IF(BP55=6,BO55,1)*IF(BP56=6,BO56,1)*IF(BP57=6,BO57,1)*IF(BP58=6,BO58,1)*IF(BP59=6,BO59,1)*IF(BP60=6,BO60,1)*IF(BP61=6,BO61,1)</f>
        <v>1</v>
      </c>
      <c r="DP60" s="134">
        <f>IF(BR55=6,BQ55,1)*IF(BR56=6,BQ56,1)*IF(BR57=6,BQ57,1)*IF(BR58=6,BQ58,1)*IF(BR59=6,BQ59,1)*IF(BR60=6,BQ60,1)*IF(BR61=6,BQ61,1)</f>
        <v>1</v>
      </c>
      <c r="DQ60" s="144">
        <f t="shared" si="83"/>
        <v>54</v>
      </c>
    </row>
    <row r="61" spans="2:122" x14ac:dyDescent="0.25">
      <c r="B61" s="134">
        <v>7</v>
      </c>
      <c r="C61" s="135" t="s">
        <v>282</v>
      </c>
      <c r="AN61" s="134">
        <f t="shared" si="6"/>
        <v>0</v>
      </c>
      <c r="AP61" s="134">
        <f t="shared" si="7"/>
        <v>0</v>
      </c>
      <c r="AR61" s="134">
        <f t="shared" si="1"/>
        <v>0</v>
      </c>
      <c r="AT61" s="134">
        <f t="shared" si="1"/>
        <v>0</v>
      </c>
      <c r="AV61" s="134">
        <f t="shared" si="1"/>
        <v>0</v>
      </c>
      <c r="AX61" s="134">
        <f t="shared" si="1"/>
        <v>0</v>
      </c>
      <c r="AZ61" s="134">
        <f t="shared" si="2"/>
        <v>0</v>
      </c>
      <c r="BB61" s="134">
        <f t="shared" si="2"/>
        <v>0</v>
      </c>
      <c r="BD61" s="134">
        <f t="shared" si="2"/>
        <v>0</v>
      </c>
      <c r="BF61" s="134">
        <f t="shared" si="2"/>
        <v>0</v>
      </c>
      <c r="BH61" s="134">
        <f t="shared" si="3"/>
        <v>0</v>
      </c>
      <c r="BJ61" s="134">
        <f t="shared" si="3"/>
        <v>0</v>
      </c>
      <c r="BL61" s="134">
        <f t="shared" si="3"/>
        <v>0</v>
      </c>
      <c r="BN61" s="134">
        <f t="shared" si="3"/>
        <v>0</v>
      </c>
      <c r="BP61" s="134">
        <f t="shared" si="4"/>
        <v>0</v>
      </c>
      <c r="BR61" s="134">
        <f t="shared" si="4"/>
        <v>0</v>
      </c>
      <c r="BT61" s="134">
        <f t="shared" si="4"/>
        <v>0</v>
      </c>
      <c r="CL61" s="142"/>
      <c r="CX61" s="144"/>
      <c r="CY61" s="144"/>
      <c r="CZ61" s="144"/>
      <c r="DA61" s="134">
        <f>IF(AN55=7,AM55,1)*IF(AN56=7,AM56,1)*IF(AN57=7,AM57,1)*IF(AN58=7,AM58,1)*IF(AN59=7,AM59,1)*IF(AN60=7,AM60,1)*IF(AN61=7,AM61,1)</f>
        <v>3</v>
      </c>
      <c r="DB61" s="134">
        <f>IF(AP55=7,AO55,1)*IF(AP56=7,AO56,1)*IF(AP57=7,AO57,1)*IF(AP58=7,AO58,1)*IF(AP59=7,AO59,1)*IF(BV60=7,AN60,1)*IF(BV61=7,AN61,1)</f>
        <v>1</v>
      </c>
      <c r="DC61" s="134">
        <f>IF(AR55=7,AQ55,1)*IF(AR56=7,AQ56,1)*IF(AR57=7,AQ57,1)*IF(AR58=7,AQ58,1)*IF(AR59=7,AQ59,1)*IF(AR60=7,AQ60,1)*IF(AR61=7,AQ61,1)</f>
        <v>1</v>
      </c>
      <c r="DD61" s="134">
        <f>IF(AT55=7,AS55,1)*IF(AT56=7,AS56,1)*IF(AT57=7,AS57,1)*IF(AT58=7,AS58,1)*IF(AT59=7,AS59,1)*IF(AT60=7,AS60,1)*IF(AT61=7,AS61,1)</f>
        <v>1</v>
      </c>
      <c r="DE61" s="134">
        <f>IF(AV55=7,AU55,1)*IF(AV56=7,AU56,1)*IF(AV57=7,AU57,1)*IF(AV58=7,AU58,1)*IF(AV59=7,AU59,1)*IF(AV60=7,AU60,1)*IF(AV61=7,AU61,1)</f>
        <v>1</v>
      </c>
      <c r="DF61" s="134">
        <f>IF(AX55=7,AW55,1)*IF(AX56=7,AW56,1)*IF(AX57=7,AW57,1)*IF(AX58=7,AW58,1)*IF(AX59=7,AW59,1)*IF(AX60=7,AW60,1)*IF(AX61=7,AW61,1)</f>
        <v>1</v>
      </c>
      <c r="DG61" s="134">
        <f>IF(AZ55=6,AY55,1)*IF(AZ56=6,AY56,1)*IF(AZ57=6,AY57,1)*IF(AZ58=6,AY58,1)*IF(AZ59=6,AY59,1)*IF(AZ60=6,AY60,1)*IF(AZ61=7,AY61,1)</f>
        <v>1</v>
      </c>
      <c r="DH61" s="134">
        <f>IF(BB55=7,BA55,1)*IF(BB56=7,BA56,1)*IF(BB57=7,BA57,1)*IF(BB58=7,BA58,1)*IF(BB59=7,BA59,1)*IF(BB60=7,BA60,1)*IF(BB61=7,BA61,1)</f>
        <v>1</v>
      </c>
      <c r="DI61" s="134">
        <f>IF(BD55=7,BC55,1)*IF(BD56=7,BC56,1)*IF(BD57=7,BC57,1)*IF(BD58=7,BC58,1)*IF(BD59=7,BC59,1)*IF(BD60=7,BC60,1)*IF(BD61=7,BC61,1)</f>
        <v>1</v>
      </c>
      <c r="DJ61" s="134">
        <f>IF(BF55=7,BE55,1)*IF(BF56=7,BE56,1)*IF(BF57=7,BE57,1)*IF(BF58=7,BE58,1)*IF(BF59=7,BE59,1)*IF(BF60=7,BE60,1)*IF(BF61=7,BE61,1)</f>
        <v>1</v>
      </c>
      <c r="DK61" s="134">
        <f>IF(BH55=7,BG55,1)*IF(BH56=7,BG56,1)*IF(BH57=7,BG57,1)*IF(BH58=7,BG58,1)*IF(BH59=7,BG59,1)*IF(BH60=7,BG60,1)*IF(BH61=7,BG61,1)</f>
        <v>1</v>
      </c>
      <c r="DL61" s="134">
        <f>IF(BJ55=7,BI55,1)*IF(BJ56=7,BI56,1)*IF(BJ57=7,BI57,1)*IF(BJ58=7,BI58,1)*IF(BJ59=7,BI59,1)*IF(BJ60=7,BI60,1)*IF(BJ61=7,BI61,1)</f>
        <v>1</v>
      </c>
      <c r="DM61" s="134">
        <f>IF(BL55=7,BK55,1)*IF(BL56=7,BK56,1)*IF(BL57=7,BK57,1)*IF(BL58=7,BK58,1)*IF(BL59=7,BK59,1)*IF(BL60=7,BK60,1)*IF(BL61=7,BK61,1)</f>
        <v>1</v>
      </c>
      <c r="DN61" s="134">
        <f>IF(BN55=7,BM55,1)*IF(BN56=7,BM56,1)*IF(BN57=7,BM57,1)*IF(BN58=7,BM58,1)*IF(BN59=7,BM59,1)*IF(BN60=7,BM60,1)*IF(BN61=7,BM61,1)</f>
        <v>1</v>
      </c>
      <c r="DO61" s="134">
        <f>IF(BP55=7,BO55,1)*IF(BP56=7,BO56,1)*IF(BP57=7,BO57,1)*IF(BP58=7,BO58,1)*IF(BP59=7,BO59,1)*IF(BP60=7,BO60,1)*IF(BP61=7,BO61,1)</f>
        <v>1</v>
      </c>
      <c r="DP61" s="134">
        <f>IF(BR55=7,BQ55,1)*IF(BR56=7,BQ56,1)*IF(BR57=7,BQ57,1)*IF(BR58=7,BQ58,1)*IF(BR59=7,BQ59,1)*IF(BR60=7,BQ60,1)*IF(BR61=7,BQ61,1)</f>
        <v>1</v>
      </c>
      <c r="DQ61" s="144">
        <f t="shared" si="83"/>
        <v>3</v>
      </c>
    </row>
    <row r="62" spans="2:122" s="144" customFormat="1" x14ac:dyDescent="0.25">
      <c r="C62" s="147"/>
      <c r="AN62" s="134">
        <f t="shared" si="6"/>
        <v>0</v>
      </c>
      <c r="AP62" s="134">
        <f t="shared" si="7"/>
        <v>0</v>
      </c>
      <c r="AR62" s="134">
        <f t="shared" si="1"/>
        <v>0</v>
      </c>
      <c r="AT62" s="134">
        <f t="shared" si="1"/>
        <v>0</v>
      </c>
      <c r="AV62" s="134">
        <f t="shared" si="1"/>
        <v>0</v>
      </c>
      <c r="AX62" s="134">
        <f t="shared" si="1"/>
        <v>0</v>
      </c>
      <c r="AZ62" s="134">
        <f t="shared" si="2"/>
        <v>0</v>
      </c>
      <c r="BB62" s="134">
        <f t="shared" si="2"/>
        <v>0</v>
      </c>
      <c r="BD62" s="134">
        <f t="shared" si="2"/>
        <v>0</v>
      </c>
      <c r="BF62" s="134">
        <f t="shared" si="2"/>
        <v>0</v>
      </c>
      <c r="BH62" s="134">
        <f t="shared" si="3"/>
        <v>0</v>
      </c>
      <c r="BJ62" s="134">
        <f t="shared" si="3"/>
        <v>0</v>
      </c>
      <c r="BL62" s="134">
        <f t="shared" si="3"/>
        <v>0</v>
      </c>
      <c r="BN62" s="134">
        <f t="shared" si="3"/>
        <v>0</v>
      </c>
      <c r="BP62" s="134">
        <f t="shared" si="4"/>
        <v>0</v>
      </c>
      <c r="BR62" s="134">
        <f t="shared" si="4"/>
        <v>0</v>
      </c>
      <c r="BT62" s="134">
        <f t="shared" si="4"/>
        <v>0</v>
      </c>
      <c r="BV62" s="144">
        <f>BV55*BV56*BV57*BV58</f>
        <v>18</v>
      </c>
      <c r="BW62" s="144">
        <f>BW55*BW56*BW57*BW58</f>
        <v>12</v>
      </c>
      <c r="BX62" s="144">
        <f>BX55*BX56</f>
        <v>1</v>
      </c>
      <c r="BY62" s="144">
        <f>BY55*BY56</f>
        <v>1</v>
      </c>
      <c r="BZ62" s="144">
        <f>BZ55*BZ56*BZ57</f>
        <v>27</v>
      </c>
      <c r="CA62" s="144">
        <f>CA55</f>
        <v>2</v>
      </c>
      <c r="CB62" s="144">
        <f>CB55*CB56*CB57</f>
        <v>24</v>
      </c>
      <c r="CC62" s="144">
        <f>CC55*CC56*CC57*CC58*CC59*CC60</f>
        <v>2</v>
      </c>
      <c r="CL62" s="148">
        <f>PRODUCT(BV62:CK62)</f>
        <v>559872</v>
      </c>
      <c r="CX62" s="144" t="str">
        <f>IF(CL62&lt;CO14,'cap.7 - analisis riesgos'!$B$15,IF('Eval Factores de Riesgo'!CL62&lt;'Eval Factores de Riesgo'!CP14,'cap.7 - analisis riesgos'!$B$16,IF('Eval Factores de Riesgo'!CL62&lt;'Eval Factores de Riesgo'!CQ14,'cap.7 - analisis riesgos'!$B$17,IF('Eval Factores de Riesgo'!CL62&lt;'Eval Factores de Riesgo'!CS14,'cap.7 - analisis riesgos'!$B$18,'cap.7 - analisis riesgos'!$B$19))))</f>
        <v>Posible</v>
      </c>
      <c r="CY62" s="144">
        <f>IF(CL62&lt;CP14,'cap.7 - analisis riesgos'!$G$15,IF('Eval Factores de Riesgo'!CL62&lt;'Eval Factores de Riesgo'!CQ14,'cap.7 - analisis riesgos'!$G$16,IF('Eval Factores de Riesgo'!CL62&lt;'Eval Factores de Riesgo'!CS14,'cap.7 - analisis riesgos'!$G$17,IF('Eval Factores de Riesgo'!CL62&lt;'Eval Factores de Riesgo'!CT14,'cap.7 - analisis riesgos'!$G$18,'cap.7 - analisis riesgos'!$G$19))))</f>
        <v>2</v>
      </c>
      <c r="CZ62" s="144">
        <f>MAX(DA62:DP62)</f>
        <v>27</v>
      </c>
      <c r="DA62" s="144">
        <f>PRODUCT(DA55:DA61)</f>
        <v>18</v>
      </c>
      <c r="DB62" s="144">
        <f t="shared" ref="DB62:DP62" si="84">PRODUCT(DB55:DB61)</f>
        <v>12</v>
      </c>
      <c r="DC62" s="144">
        <f t="shared" si="84"/>
        <v>1</v>
      </c>
      <c r="DD62" s="144">
        <f t="shared" si="84"/>
        <v>1</v>
      </c>
      <c r="DE62" s="144">
        <f t="shared" si="84"/>
        <v>27</v>
      </c>
      <c r="DF62" s="144">
        <f t="shared" si="84"/>
        <v>2</v>
      </c>
      <c r="DG62" s="144">
        <f t="shared" si="84"/>
        <v>24</v>
      </c>
      <c r="DH62" s="144">
        <f t="shared" si="84"/>
        <v>2</v>
      </c>
      <c r="DI62" s="144">
        <f t="shared" si="84"/>
        <v>1</v>
      </c>
      <c r="DJ62" s="144">
        <f t="shared" si="84"/>
        <v>1</v>
      </c>
      <c r="DK62" s="144">
        <f t="shared" si="84"/>
        <v>1</v>
      </c>
      <c r="DL62" s="144">
        <f t="shared" si="84"/>
        <v>1</v>
      </c>
      <c r="DM62" s="144">
        <f t="shared" si="84"/>
        <v>1</v>
      </c>
      <c r="DN62" s="144">
        <f t="shared" si="84"/>
        <v>1</v>
      </c>
      <c r="DO62" s="144">
        <f t="shared" si="84"/>
        <v>1</v>
      </c>
      <c r="DP62" s="144">
        <f t="shared" si="84"/>
        <v>1</v>
      </c>
    </row>
    <row r="63" spans="2:122" s="144" customFormat="1" x14ac:dyDescent="0.25">
      <c r="C63" s="147"/>
      <c r="AN63" s="134"/>
      <c r="AP63" s="134"/>
      <c r="AR63" s="134"/>
      <c r="AT63" s="134"/>
      <c r="AV63" s="134"/>
      <c r="AX63" s="134"/>
      <c r="AZ63" s="134"/>
      <c r="BB63" s="134"/>
      <c r="BD63" s="134"/>
      <c r="BF63" s="134"/>
      <c r="BH63" s="134"/>
      <c r="BJ63" s="134"/>
      <c r="BL63" s="134"/>
      <c r="BN63" s="134"/>
      <c r="BP63" s="134"/>
      <c r="BR63" s="134"/>
      <c r="BT63" s="134"/>
      <c r="CL63" s="150"/>
      <c r="DA63" s="144">
        <f>$CZ$62-DA62</f>
        <v>9</v>
      </c>
      <c r="DB63" s="144">
        <f t="shared" ref="DB63:DP63" si="85">$CZ$62-DB62</f>
        <v>15</v>
      </c>
      <c r="DC63" s="144">
        <f t="shared" si="85"/>
        <v>26</v>
      </c>
      <c r="DD63" s="144">
        <f t="shared" si="85"/>
        <v>26</v>
      </c>
      <c r="DE63" s="144">
        <f t="shared" si="85"/>
        <v>0</v>
      </c>
      <c r="DF63" s="144">
        <f t="shared" si="85"/>
        <v>25</v>
      </c>
      <c r="DG63" s="144">
        <f t="shared" si="85"/>
        <v>3</v>
      </c>
      <c r="DH63" s="144">
        <f t="shared" si="85"/>
        <v>25</v>
      </c>
      <c r="DI63" s="144">
        <f t="shared" si="85"/>
        <v>26</v>
      </c>
      <c r="DJ63" s="144">
        <f t="shared" si="85"/>
        <v>26</v>
      </c>
      <c r="DK63" s="144">
        <f t="shared" si="85"/>
        <v>26</v>
      </c>
      <c r="DL63" s="144">
        <f t="shared" si="85"/>
        <v>26</v>
      </c>
      <c r="DM63" s="144">
        <f t="shared" si="85"/>
        <v>26</v>
      </c>
      <c r="DN63" s="144">
        <f t="shared" si="85"/>
        <v>26</v>
      </c>
      <c r="DO63" s="144">
        <f t="shared" si="85"/>
        <v>26</v>
      </c>
      <c r="DP63" s="144">
        <f t="shared" si="85"/>
        <v>26</v>
      </c>
      <c r="DR63" s="144">
        <f>IF(DA63=0,DA54,IF(DB63=0,DB54,IF(DC63=0,DC54,IF(DD63=0,DD54,IF(DE63=0,DE54,IF(DF63=0,DF54,IF(DG63=0,DG54,IF(DH63=0,DH54,IF(DI63=0,DI54,IF(DJ63=0,DJ54,IF(DK63=0,DK54,IF(DL63=0,DL54,IF(DM63=0,DM54,IF(DN63=0,DN54,IF(DO63=0,DO54,DP54)))))))))))))))</f>
        <v>13</v>
      </c>
    </row>
    <row r="64" spans="2:122" x14ac:dyDescent="0.25">
      <c r="C64" s="141" t="s">
        <v>29</v>
      </c>
      <c r="D64" s="137" t="s">
        <v>590</v>
      </c>
      <c r="F64" s="152" t="s">
        <v>598</v>
      </c>
      <c r="H64" s="151" t="s">
        <v>593</v>
      </c>
      <c r="J64" s="151" t="s">
        <v>581</v>
      </c>
      <c r="L64" s="137" t="s">
        <v>579</v>
      </c>
      <c r="N64" s="137" t="s">
        <v>580</v>
      </c>
      <c r="P64" s="137" t="s">
        <v>580</v>
      </c>
      <c r="R64" s="137" t="s">
        <v>583</v>
      </c>
      <c r="T64" s="137" t="s">
        <v>586</v>
      </c>
      <c r="V64" s="137" t="s">
        <v>587</v>
      </c>
      <c r="AN64" s="134">
        <f t="shared" si="6"/>
        <v>0</v>
      </c>
      <c r="AP64" s="134">
        <f t="shared" si="7"/>
        <v>0</v>
      </c>
      <c r="AR64" s="134">
        <f t="shared" si="1"/>
        <v>0</v>
      </c>
      <c r="AT64" s="134">
        <f t="shared" si="1"/>
        <v>0</v>
      </c>
      <c r="AV64" s="134">
        <f t="shared" si="1"/>
        <v>0</v>
      </c>
      <c r="AX64" s="134">
        <f t="shared" si="1"/>
        <v>0</v>
      </c>
      <c r="AZ64" s="134">
        <f t="shared" si="2"/>
        <v>0</v>
      </c>
      <c r="BB64" s="134">
        <f t="shared" si="2"/>
        <v>0</v>
      </c>
      <c r="BD64" s="134">
        <f t="shared" si="2"/>
        <v>0</v>
      </c>
      <c r="BF64" s="134">
        <f t="shared" si="2"/>
        <v>0</v>
      </c>
      <c r="BH64" s="134">
        <f t="shared" si="3"/>
        <v>0</v>
      </c>
      <c r="BJ64" s="134">
        <f t="shared" si="3"/>
        <v>0</v>
      </c>
      <c r="BL64" s="134">
        <f t="shared" si="3"/>
        <v>0</v>
      </c>
      <c r="BN64" s="134">
        <f t="shared" si="3"/>
        <v>0</v>
      </c>
      <c r="BP64" s="134">
        <f t="shared" si="4"/>
        <v>0</v>
      </c>
      <c r="BR64" s="134">
        <f t="shared" si="4"/>
        <v>0</v>
      </c>
      <c r="BT64" s="134">
        <f t="shared" si="4"/>
        <v>0</v>
      </c>
      <c r="CL64" s="138" t="s">
        <v>323</v>
      </c>
      <c r="CX64" s="144"/>
      <c r="CY64" s="144"/>
      <c r="CZ64" s="144"/>
      <c r="DA64" s="143">
        <f>IFERROR(VALUE(MID(D64,1,2)),"")</f>
        <v>6</v>
      </c>
      <c r="DB64" s="143">
        <f>IFERROR(VALUE(MID(F64,1,2)),"")</f>
        <v>8</v>
      </c>
      <c r="DC64" s="143">
        <f>IFERROR(VALUE(MID(H64,1,2)),"")</f>
        <v>9</v>
      </c>
      <c r="DD64" s="143">
        <f>IFERROR(VALUE(MID(J64,1,2)),"")</f>
        <v>10</v>
      </c>
      <c r="DE64" s="143">
        <f>IFERROR(VALUE(MID(L64,1,2)),"")</f>
        <v>11</v>
      </c>
      <c r="DF64" s="143">
        <f>IFERROR(VALUE(MID(N64,1,2)),"")</f>
        <v>12</v>
      </c>
      <c r="DG64" s="143">
        <f>IFERROR(VALUE(MID(P64,1,2)),"")</f>
        <v>12</v>
      </c>
      <c r="DH64" s="143">
        <f>IFERROR(VALUE(MID(R64,1,2)),"")</f>
        <v>14</v>
      </c>
      <c r="DI64" s="143">
        <f>IFERROR(VALUE(MID(T64,1,2)),"")</f>
        <v>15</v>
      </c>
      <c r="DJ64" s="143">
        <f>IFERROR(VALUE(MID(V64,1,2)),"")</f>
        <v>16</v>
      </c>
      <c r="DK64" s="143" t="str">
        <f>IFERROR(VALUE(MID(X64,1,2)),"")</f>
        <v/>
      </c>
      <c r="DL64" s="143" t="str">
        <f>IFERROR(VALUE(MID(Z64,1,2)),"")</f>
        <v/>
      </c>
      <c r="DM64" s="143" t="str">
        <f>IFERROR(VALUE(MID(AB64,1,2)),"")</f>
        <v/>
      </c>
      <c r="DN64" s="143" t="str">
        <f>IFERROR(VALUE(MID(AD64,1,2)),"")</f>
        <v/>
      </c>
      <c r="DO64" s="143" t="str">
        <f>IFERROR(VALUE(MID(AF64,1,2)),"")</f>
        <v/>
      </c>
      <c r="DP64" s="143" t="str">
        <f>IFERROR(VALUE(MID(AH64,1,2)),"")</f>
        <v/>
      </c>
      <c r="DQ64" s="144"/>
    </row>
    <row r="65" spans="2:122" x14ac:dyDescent="0.25">
      <c r="B65" s="134">
        <v>1</v>
      </c>
      <c r="C65" s="135" t="s">
        <v>283</v>
      </c>
      <c r="D65" s="134" t="str">
        <f>'Descripcion Actividades'!C14</f>
        <v>3 Algo complejas</v>
      </c>
      <c r="E65" s="134">
        <v>2</v>
      </c>
      <c r="F65" s="134" t="str">
        <f>'Descripcion Actividades'!C40</f>
        <v>4 Las actividades de transporte son inherentes al cumplimiento del objeto contractual.</v>
      </c>
      <c r="G65" s="134">
        <v>6</v>
      </c>
      <c r="H65" s="145" t="str">
        <f>'Descripcion Actividades'!C51</f>
        <v>1 El contrato no contempla actividades de manipulación y/o suministro de alimentos.</v>
      </c>
      <c r="I65" s="145">
        <v>3</v>
      </c>
      <c r="J65" s="146" t="str">
        <f>'Descripcion Actividades'!C55</f>
        <v>1 El contrato no contempla actividades de manipulación y/o suministro de medicamentos.</v>
      </c>
      <c r="K65" s="146">
        <v>3</v>
      </c>
      <c r="L65" s="134" t="str">
        <f>'Descripcion Actividades'!C63</f>
        <v>1 Todos los materiales e insumos requeridos son de amplia disponibilidad y accesibilidad.</v>
      </c>
      <c r="M65" s="134">
        <v>4</v>
      </c>
      <c r="N65" s="134" t="str">
        <f>'Descripcion Actividades'!C81</f>
        <v>1 El suministro de agua no es relevante para la ejecución del contrato.</v>
      </c>
      <c r="O65" s="134">
        <v>2</v>
      </c>
      <c r="P65" s="134" t="str">
        <f>'Descripcion Actividades'!C97</f>
        <v>1 No se requiere servicio de audiovisuales en el contrato</v>
      </c>
      <c r="Q65" s="134">
        <v>7</v>
      </c>
      <c r="R65" s="134" t="str">
        <f>'Descripcion Actividades'!C118</f>
        <v>2 Las máquinas, equipos y vehículos son de uso común y su disponibilidad es amplia.</v>
      </c>
      <c r="S65" s="134">
        <v>6</v>
      </c>
      <c r="T65" s="134" t="str">
        <f>'Descripcion Actividades'!C123</f>
        <v>4 El contrato contempla una cantidad apreciable de actividades de campo especializadas y/o complejas.</v>
      </c>
      <c r="U65" s="134">
        <v>2</v>
      </c>
      <c r="V65" s="134" t="str">
        <f>'Descripcion Actividades'!C131</f>
        <v>1 El contrato no contempla actividades de obra civil.</v>
      </c>
      <c r="W65" s="134">
        <v>2</v>
      </c>
      <c r="AM65" s="134" t="str">
        <f t="shared" si="21"/>
        <v>3</v>
      </c>
      <c r="AN65" s="134">
        <f t="shared" si="6"/>
        <v>2</v>
      </c>
      <c r="AO65" s="134" t="str">
        <f t="shared" si="22"/>
        <v>4</v>
      </c>
      <c r="AP65" s="134">
        <f t="shared" si="7"/>
        <v>6</v>
      </c>
      <c r="AQ65" s="145" t="str">
        <f>MID(H65,1,1)</f>
        <v>1</v>
      </c>
      <c r="AR65" s="134">
        <f t="shared" si="1"/>
        <v>3</v>
      </c>
      <c r="AS65" s="146" t="str">
        <f>MID(J65,1,1)</f>
        <v>1</v>
      </c>
      <c r="AT65" s="134">
        <f t="shared" si="1"/>
        <v>3</v>
      </c>
      <c r="AU65" s="134" t="str">
        <f>MID(L65,1,1)</f>
        <v>1</v>
      </c>
      <c r="AV65" s="134">
        <f t="shared" si="1"/>
        <v>4</v>
      </c>
      <c r="AW65" s="134" t="str">
        <f t="shared" ref="AW65:AW72" si="86">MID(N65,1,1)</f>
        <v>1</v>
      </c>
      <c r="AX65" s="134">
        <f t="shared" si="1"/>
        <v>2</v>
      </c>
      <c r="AY65" s="134" t="str">
        <f>MID(P65,1,1)</f>
        <v>1</v>
      </c>
      <c r="AZ65" s="134">
        <f t="shared" si="2"/>
        <v>7</v>
      </c>
      <c r="BA65" s="134" t="str">
        <f>MID(R65,1,1)</f>
        <v>2</v>
      </c>
      <c r="BB65" s="134">
        <f t="shared" si="2"/>
        <v>6</v>
      </c>
      <c r="BC65" s="134" t="str">
        <f>MID(T65,1,1)</f>
        <v>4</v>
      </c>
      <c r="BD65" s="134">
        <f t="shared" si="2"/>
        <v>2</v>
      </c>
      <c r="BE65" s="134" t="str">
        <f t="shared" ref="BE65" si="87">MID(V65,1,1)</f>
        <v>1</v>
      </c>
      <c r="BF65" s="134">
        <f t="shared" si="2"/>
        <v>2</v>
      </c>
      <c r="BH65" s="134">
        <f t="shared" si="3"/>
        <v>0</v>
      </c>
      <c r="BJ65" s="134">
        <f t="shared" si="3"/>
        <v>0</v>
      </c>
      <c r="BL65" s="134">
        <f t="shared" si="3"/>
        <v>0</v>
      </c>
      <c r="BN65" s="134">
        <f t="shared" si="3"/>
        <v>0</v>
      </c>
      <c r="BP65" s="134">
        <f t="shared" si="4"/>
        <v>0</v>
      </c>
      <c r="BR65" s="134">
        <f t="shared" si="4"/>
        <v>0</v>
      </c>
      <c r="BT65" s="134">
        <f t="shared" si="4"/>
        <v>0</v>
      </c>
      <c r="BV65" s="134">
        <f t="shared" si="14"/>
        <v>3</v>
      </c>
      <c r="BW65" s="134">
        <f>VALUE(AO65)</f>
        <v>4</v>
      </c>
      <c r="BX65" s="145">
        <f>VALUE(AQ65)</f>
        <v>1</v>
      </c>
      <c r="BY65" s="146">
        <f t="shared" si="42"/>
        <v>1</v>
      </c>
      <c r="BZ65" s="134">
        <f>VALUE(AU65)</f>
        <v>1</v>
      </c>
      <c r="CA65" s="134">
        <f t="shared" ref="CA65:CA72" si="88">VALUE(AW65)</f>
        <v>1</v>
      </c>
      <c r="CB65" s="134">
        <f>VALUE(AY65)</f>
        <v>1</v>
      </c>
      <c r="CC65" s="134">
        <f>VALUE(BA65)</f>
        <v>2</v>
      </c>
      <c r="CD65" s="134">
        <f>VALUE(BC65)</f>
        <v>4</v>
      </c>
      <c r="CE65" s="134">
        <f t="shared" ref="CE65" si="89">VALUE(BE65)</f>
        <v>1</v>
      </c>
      <c r="CL65" s="142"/>
      <c r="CX65" s="144"/>
      <c r="CY65" s="144"/>
      <c r="CZ65" s="144"/>
      <c r="DA65" s="134">
        <f>IF(AN65=1,AM65,1)*IF(AN66=1,AM66,1)*IF(AN67=1,AM67,1)*IF(AN68=1,AM68,1)*IF(AN69=1,AM69,1)*IF(AN70=1,AM70,1)*IF(AN71=1,AM71,1)*IF(AN72=1,AM72,1)</f>
        <v>1</v>
      </c>
      <c r="DB65" s="134">
        <f>IF(AP65=1,AO65,1)*IF(AP66=1,AO66,1)*IF(AP67=1,AO67,1)*IF(AP68=1,AO68,1)*IF(AP69=1,AO69,1)*IF(BV70=1,AN70,1)*IF(BV71=1,AN71,1)*IF(BV72=1,AN72,1)</f>
        <v>1</v>
      </c>
      <c r="DC65" s="134">
        <f>IF(AR65=1,AQ65,1)*IF(AR66=1,AQ66,1)*IF(AR67=1,AQ67,1)*IF(AR68=1,AQ68,1)*IF(AR69=1,AQ69,1)*IF(AR70=1,AQ70,1)*IF(AR71=1,AQ71,1)*IF(AR72=1,AQ72,1)</f>
        <v>1</v>
      </c>
      <c r="DD65" s="134">
        <f>IF(AT65=1,AS65,1)*IF(AT66=1,AS66,1)*IF(AT67=1,AS67,1)*IF(AT68=1,AS68,1)*IF(AT69=1,AS69,1)*IF(AT70=1,AS70,1)*IF(AT71=1,AS71,1)*IF(AT72=1,AS72,1)</f>
        <v>1</v>
      </c>
      <c r="DE65" s="134">
        <f>IF(AV65=1,AU65,1)*IF(AV66=1,AU66,1)*IF(AV67=1,AU67,1)*IF(AV68=1,AU68,1)*IF(AV69=1,AU69,1)*IF(AV70=1,AU70,1)*IF(AV71=1,AU71,1)*IF(AV72=1,AU72,1)</f>
        <v>1</v>
      </c>
      <c r="DF65" s="134">
        <f>IF(AX65=1,AW65,1)*IF(AX66=1,AW66,1)*IF(AX67=1,AW67,1)*IF(AX68=1,AW68,1)*IF(AX69=1,AW69,1)*IF(AX70=1,AW70,1)*IF(AX71=1,AW71,1)*IF(BZ72=1,AV72,1)</f>
        <v>16</v>
      </c>
      <c r="DG65" s="134">
        <f>IF(AZ65=1,AY65,1)*IF(AZ66=1,AY66,1)*IF(AZ67=1,AY67,1)*IF(AZ68=1,AY68,1)*IF(AZ69=1,AY69,1)*IF(AZ70=1,AY70,1)*IF(AZ71=1,AY71,1)*IF(AZ72=1,AY72,1)</f>
        <v>1</v>
      </c>
      <c r="DH65" s="134">
        <f>IF(BB65=1,BA65,1)*IF(BB66=1,BA66,1)*IF(BB67=1,BA67,1)*IF(BB68=1,BA68,1)*IF(BB69=1,BA69,1)*IF(BB70=1,BA70,1)*IF(BB71=1,BA71,1)*IF(BB72=1,BA72,1)</f>
        <v>1</v>
      </c>
      <c r="DI65" s="134">
        <f>IF(BD65=1,BC65,1)*IF(BD66=1,BC66,1)*IF(BD67=1,BC67,1)*IF(BD68=1,BC68,1)*IF(BD69=1,BC69,1)*IF(BD70=1,BC70,1)*IF(BD71=1,BC71,1)*IF(BD72=1,BC72,1)</f>
        <v>1</v>
      </c>
      <c r="DJ65" s="134">
        <f>IF(BF65=1,BE65,1)*IF(BF66=1,BE66,1)*IF(BF67=1,BE67,1)*IF(BF68=1,BE68,1)*IF(BF69=1,BE69,1)*IF(BF70=1,BE70,1)*IF(BF71=1,BE71,1)*IF(BF72=1,BE72,1)</f>
        <v>1</v>
      </c>
      <c r="DK65" s="134">
        <f>IF(BH65=1,BG65,1)*IF(BH66=1,BG66,1)*IF(BH67=1,BG67,1)*IF(BH68=1,BG68,1)*IF(BH69=1,BG69,1)*IF(BH70=1,BG70,1)*IF(BH71=1,BG71,1)</f>
        <v>1</v>
      </c>
      <c r="DL65" s="134">
        <f>IF(BJ65=1,BI65,1)*IF(BJ66=1,BI66,1)*IF(BJ67=1,BI67,1)*IF(BJ68=1,BI68,1)*IF(BJ69=1,BI69,1)*IF(BJ70=1,BI70,1)*IF(BJ71=1,BI71,1)*IF(BJ72=1,BI72,1)</f>
        <v>1</v>
      </c>
      <c r="DM65" s="134">
        <f>IF(BL65=1,BK65,1)*IF(BL66=1,BK66,1)*IF(BL67=1,BK67,1)*IF(BL68=1,BK68,1)*IF(BL69=1,BK69,1)*IF(BL70=1,BK70,1)*IF(BL71=1,BK71,1)*IF(BL72=1,BK72,1)</f>
        <v>1</v>
      </c>
      <c r="DN65" s="134">
        <f>IF(BN65=1,BM65,1)*IF(BN66=1,BM66,1)*IF(BN67=1,BM67,1)*IF(BN68=1,BM68,1)*IF(BN69=1,BM69,1)*IF(BN70=1,BM70,1)*IF(BN71=1,BM71,1)*IF(BN72=1,BM72,1)</f>
        <v>1</v>
      </c>
      <c r="DO65" s="134">
        <f>IF(BP65=1,BO65,1)*IF(BP66=1,BO66,1)*IF(BP67=1,BO67,1)*IF(BP68=1,BO68,1)*IF(BP69=1,BO69,1)*IF(BP70=1,BO70,1)*IF(BP71=1,BO71,1)*IF(BP72=1,BO72,1)</f>
        <v>1</v>
      </c>
      <c r="DP65" s="134">
        <f>IF(BR65=1,BQ65,1)*IF(BR66=1,BQ66,1)*IF(BR67=1,BQ67,1)*IF(BR68=1,BQ68,1)*IF(BR69=1,BQ69,1)*IF(BR70=1,BQ70,1)*IF(BR71=1,BQ71,1)*IF(BR72=1,BQ72,1)</f>
        <v>1</v>
      </c>
      <c r="DQ65" s="144">
        <f t="shared" ref="DQ65:DQ72" si="90">PRODUCT(DA65:DP65)</f>
        <v>16</v>
      </c>
      <c r="DR65" s="134">
        <f>IF((DQ65-MAX(DQ65:DQ72))=0,B65,IF((DQ66-MAX(DQ65:DQ72))=0,B66,IF((DQ67-MAX(DQ65:DQ72))=0,B67,IF((DQ68-MAX(DQ65:DQ72))=0,B68,IF((DQ69-MAX(DQ65:DQ72))=0,B69,IF((DQ70-MAX(DQ65:DQ72))=0,B70,IF((DQ71-MAX(DQ65:DQ72))=0,B71,B72)))))))</f>
        <v>6</v>
      </c>
    </row>
    <row r="66" spans="2:122" x14ac:dyDescent="0.25">
      <c r="B66" s="134">
        <v>2</v>
      </c>
      <c r="C66" s="135" t="s">
        <v>284</v>
      </c>
      <c r="D66" s="134" t="str">
        <f>'Descripcion Actividades'!C16</f>
        <v>3 Se requiere experiencia pero es común encontrarla</v>
      </c>
      <c r="E66" s="134">
        <v>2</v>
      </c>
      <c r="F66" s="134" t="str">
        <f>'Descripcion Actividades'!C42</f>
        <v>3 Las actividades de transporte son frecuentes y periódicas</v>
      </c>
      <c r="G66" s="134">
        <v>6</v>
      </c>
      <c r="H66" s="134" t="str">
        <f>'Descripcion Actividades'!C53</f>
        <v>1 Nada Relevante</v>
      </c>
      <c r="I66" s="134">
        <v>3</v>
      </c>
      <c r="J66" s="146" t="str">
        <f>'Descripcion Actividades'!C53</f>
        <v>1 Nada Relevante</v>
      </c>
      <c r="K66" s="146">
        <v>3</v>
      </c>
      <c r="L66" s="134" t="str">
        <f>'Descripcion Actividades'!C65</f>
        <v>1 Hay múltiples fuentes para la consecusión de los materiales e insumos.</v>
      </c>
      <c r="M66" s="134">
        <v>4</v>
      </c>
      <c r="N66" s="134" t="str">
        <f>'Descripcion Actividades'!C83</f>
        <v>2 Se cuenta con red de suministro de energía eléctrica y está disponible todo el tiempo.</v>
      </c>
      <c r="O66" s="134">
        <v>7</v>
      </c>
      <c r="P66" s="134" t="str">
        <f>'Descripcion Actividades'!C101</f>
        <v>2 Se requieren algunos servicios sanitarios y su disponibilidad es amplia.</v>
      </c>
      <c r="Q66" s="134">
        <v>8</v>
      </c>
      <c r="T66" s="134" t="str">
        <f>'Descripcion Actividades'!C125</f>
        <v>2 El lugar para la ejecución del contrato es de fácil acceso y pero los tiempos para acceder pueden variar.</v>
      </c>
      <c r="U66" s="134">
        <v>6</v>
      </c>
      <c r="V66" s="134" t="str">
        <f>'Descripcion Actividades'!C133</f>
        <v>1 Se contempla un único frente de obra.</v>
      </c>
      <c r="W66" s="134">
        <v>6</v>
      </c>
      <c r="AM66" s="134" t="str">
        <f t="shared" si="21"/>
        <v>3</v>
      </c>
      <c r="AN66" s="134">
        <f t="shared" si="6"/>
        <v>2</v>
      </c>
      <c r="AO66" s="134" t="str">
        <f t="shared" si="22"/>
        <v>3</v>
      </c>
      <c r="AP66" s="134">
        <f t="shared" si="7"/>
        <v>6</v>
      </c>
      <c r="AQ66" s="145" t="str">
        <f>MID(H66,1,1)</f>
        <v>1</v>
      </c>
      <c r="AR66" s="134">
        <f t="shared" si="1"/>
        <v>3</v>
      </c>
      <c r="AS66" s="146" t="str">
        <f>MID(J66,1,1)</f>
        <v>1</v>
      </c>
      <c r="AT66" s="134">
        <f t="shared" si="1"/>
        <v>3</v>
      </c>
      <c r="AU66" s="134" t="str">
        <f>MID(L66,1,1)</f>
        <v>1</v>
      </c>
      <c r="AV66" s="134">
        <f t="shared" si="1"/>
        <v>4</v>
      </c>
      <c r="AW66" s="134" t="str">
        <f t="shared" si="86"/>
        <v>2</v>
      </c>
      <c r="AX66" s="134">
        <f t="shared" si="1"/>
        <v>7</v>
      </c>
      <c r="AY66" s="134" t="str">
        <f t="shared" ref="AY66:AY68" si="91">MID(P66,1,1)</f>
        <v>2</v>
      </c>
      <c r="AZ66" s="134">
        <f t="shared" si="2"/>
        <v>8</v>
      </c>
      <c r="BB66" s="134">
        <f t="shared" si="2"/>
        <v>0</v>
      </c>
      <c r="BC66" s="134" t="str">
        <f>MID(T66,1,1)</f>
        <v>2</v>
      </c>
      <c r="BD66" s="134">
        <f t="shared" si="2"/>
        <v>6</v>
      </c>
      <c r="BE66" s="134" t="str">
        <f>MID(V66,1,1)</f>
        <v>1</v>
      </c>
      <c r="BF66" s="134">
        <f t="shared" si="2"/>
        <v>6</v>
      </c>
      <c r="BH66" s="134">
        <f t="shared" si="3"/>
        <v>0</v>
      </c>
      <c r="BJ66" s="134">
        <f t="shared" si="3"/>
        <v>0</v>
      </c>
      <c r="BL66" s="134">
        <f t="shared" si="3"/>
        <v>0</v>
      </c>
      <c r="BN66" s="134">
        <f t="shared" si="3"/>
        <v>0</v>
      </c>
      <c r="BP66" s="134">
        <f t="shared" si="4"/>
        <v>0</v>
      </c>
      <c r="BR66" s="134">
        <f t="shared" si="4"/>
        <v>0</v>
      </c>
      <c r="BT66" s="134">
        <f t="shared" si="4"/>
        <v>0</v>
      </c>
      <c r="BV66" s="134">
        <f t="shared" si="14"/>
        <v>3</v>
      </c>
      <c r="BW66" s="134">
        <f>VALUE(AO66)</f>
        <v>3</v>
      </c>
      <c r="BX66" s="145">
        <f>VALUE(AQ66)</f>
        <v>1</v>
      </c>
      <c r="BY66" s="146">
        <f t="shared" si="42"/>
        <v>1</v>
      </c>
      <c r="BZ66" s="134">
        <f>VALUE(AU66)</f>
        <v>1</v>
      </c>
      <c r="CA66" s="134">
        <f t="shared" si="88"/>
        <v>2</v>
      </c>
      <c r="CB66" s="134">
        <f t="shared" ref="CB66:CB68" si="92">VALUE(AY66)</f>
        <v>2</v>
      </c>
      <c r="CD66" s="134">
        <f>VALUE(BC66)</f>
        <v>2</v>
      </c>
      <c r="CE66" s="134">
        <f>VALUE(BE66)</f>
        <v>1</v>
      </c>
      <c r="CL66" s="142"/>
      <c r="CX66" s="144"/>
      <c r="CY66" s="144"/>
      <c r="CZ66" s="144"/>
      <c r="DA66" s="134">
        <f>IF(AN65=2,AM65,1)*IF(AN66=2,AM66,1)*IF(AN67=2,AM67,1)*IF(AN68=2,AM68,1)*IF(AN69=2,AM69,1)*IF(AN70=2,AM70,1)*IF(AN71=2,AM71,1)*IF(AN72=2,AM72,1)</f>
        <v>9</v>
      </c>
      <c r="DB66" s="134">
        <f>IF(AP65=2,AO65,1)*IF(AP66=2,AO66,1)*IF(AP67=2,AO67,1)*IF(AP68=2,AO68,1)*IF(AP69=2,AO69,1)*IF(BV70=2,AN70,1)*IF(BV71=2,AN71,1)*IF(BV72=2,AN72,1)</f>
        <v>1</v>
      </c>
      <c r="DC66" s="134">
        <f>IF(AR65=2,AQ65,1)*IF(AR66=2,AQ66,1)*IF(AR67=2,AQ67,1)*IF(AR68=2,AQ68,1)*IF(AR69=2,AQ69,1)*IF(AR70=2,AQ70,1)*IF(AR71=2,AQ71,1)*IF(AR72=2,AQ72,1)</f>
        <v>1</v>
      </c>
      <c r="DD66" s="134">
        <f>IF(AT65=2,AS65,1)*IF(AT66=2,AS66,1)*IF(AT67=2,AS67,1)*IF(AT68=2,AS68,1)*IF(AT69=2,AS69,1)*IF(AT70=2,AS70,1)*IF(AT71=2,AS71,1)*IF(AT72=2,AS72,1)</f>
        <v>1</v>
      </c>
      <c r="DE66" s="134">
        <f>IF(AV65=2,AU65,1)*IF(AV66=2,AU66,1)*IF(AV67=2,AU67,1)*IF(AV68=2,AU68,1)*IF(AV69=2,AU69,1)*IF(AV70=2,AU70,1)*IF(AV71=2,AU71,1)*IF(AV72=2,AU72,1)</f>
        <v>1</v>
      </c>
      <c r="DF66" s="134">
        <f>IF(AX65=2,AW65,1)*IF(AX66=2,AW66,1)*IF(AX67=2,AW67,1)*IF(AX68=2,AW68,1)*IF(AX69=2,AW69,1)*IF(AX70=2,AW70,1)*IF(AX71=2,AW71,1)*IF(BZ72=2,AV72,1)</f>
        <v>25</v>
      </c>
      <c r="DG66" s="134">
        <f>IF(AZ65=2,AY65,1)*IF(AZ66=2,AY66,1)*IF(AZ67=2,AY67,1)*IF(AZ68=2,AY68,1)*IF(AZ69=2,AY69,1)*IF(AZ70=2,AY70,1)*IF(AZ71=2,AY71,1)*IF(AZ72=2,AY72,1)</f>
        <v>1</v>
      </c>
      <c r="DH66" s="134">
        <f>IF(BB65=2,BA65,1)*IF(BB66=2,BA66,1)*IF(BB67=2,BA67,1)*IF(BB68=2,BA68,1)*IF(BB69=2,BA69,1)*IF(BB70=2,BA70,1)*IF(BB71=2,BA71,1)*IF(BB72=2,BA72,1)</f>
        <v>1</v>
      </c>
      <c r="DI66" s="134">
        <f>IF(BD65=2,BC65,1)*IF(BD66=2,BC66,1)*IF(BD67=2,BC67,1)*IF(BD68=2,BC68,1)*IF(BD69=2,BC69,1)*IF(BD70=2,BC70,1)*IF(BD71=2,BC71,1)*IF(BD72=2,BC72,1)</f>
        <v>4</v>
      </c>
      <c r="DJ66" s="134">
        <f>IF(BF65=2,BE65,1)*IF(BF66=2,BE66,1)*IF(BF67=2,BE67,1)*IF(BF68=2,BE68,1)*IF(BF69=2,BE69,1)*IF(BF70=2,BE70,1)*IF(BF71=2,BE71,1)*IF(BF72=2,BE72,1)</f>
        <v>1</v>
      </c>
      <c r="DK66" s="134">
        <f>IF(BH65=2,BG65,1)*IF(BH66=2,BG66,1)*IF(BH67=2,BG67,1)*IF(BH68=2,BG68,1)*IF(BH69=2,BG69,1)*IF(BH70=2,BG70,1)*IF(BH71=2,BG71,1)*IF(BH72=2,BG72,1)</f>
        <v>1</v>
      </c>
      <c r="DL66" s="134">
        <f>IF(BJ65=2,BI65,1)*IF(BJ66=2,BI66,1)*IF(BJ67=2,BI67,1)*IF(BJ68=2,BI68,1)*IF(BJ69=2,BI69,1)*IF(BJ70=2,BI70,1)*IF(BJ71=2,BI71,1)*IF(BJ72=2,BI72,1)</f>
        <v>1</v>
      </c>
      <c r="DM66" s="134">
        <f>IF(BL65=2,BK65,1)*IF(BL66=2,BK66,1)*IF(BL67=2,BK67,1)*IF(BL68=2,BK68,1)*IF(BL69=2,BK69,1)*IF(BL70=2,BK70,1)*IF(BL71=2,BK71,1)*IF(BL72=2,BK72,1)</f>
        <v>1</v>
      </c>
      <c r="DN66" s="134">
        <f>IF(BN65=2,BM65,1)*IF(BN66=2,BM66,1)*IF(BN67=2,BM67,1)*IF(BN68=2,BM68,1)*IF(BN69=2,BM69,1)*IF(BN70=2,BM70,1)*IF(BN71=2,BM71,1)*IF(BN72=2,BM72,1)</f>
        <v>1</v>
      </c>
      <c r="DO66" s="134">
        <f>IF(BP65=2,BO65,1)*IF(BP66=2,BO66,1)*IF(BP67=2,BO67,1)*IF(BP68=2,BO68,1)*IF(BP69=2,BO69,1)*IF(BP70=2,BO70,1)*IF(BP71=2,BO71,1)*IF(BP72=2,BO72,1)</f>
        <v>1</v>
      </c>
      <c r="DP66" s="134">
        <f>IF(BR65=2,BQ65,1)*IF(BR66=2,BQ66,1)*IF(BR67=2,BQ67,1)*IF(BR68=2,BQ68,1)*IF(BR69=2,BQ69,1)*IF(BR70=2,BQ70,1)*IF(BR71=2,BQ71,1)*IF(BR72=2,BQ72,1)</f>
        <v>1</v>
      </c>
      <c r="DQ66" s="144">
        <f t="shared" si="90"/>
        <v>900</v>
      </c>
    </row>
    <row r="67" spans="2:122" x14ac:dyDescent="0.25">
      <c r="B67" s="134">
        <v>3</v>
      </c>
      <c r="C67" s="135" t="s">
        <v>285</v>
      </c>
      <c r="D67" s="134" t="str">
        <f>'Descripcion Actividades'!C18</f>
        <v>1 El proceso es de común conocimiento no tiene restricciones de uso.</v>
      </c>
      <c r="E67" s="134">
        <v>2</v>
      </c>
      <c r="F67" s="134" t="str">
        <f>'Descripcion Actividades'!C44</f>
        <v>4 Es necesario contratar servicios exculsivos de transporte</v>
      </c>
      <c r="G67" s="134">
        <v>6</v>
      </c>
      <c r="L67" s="134" t="str">
        <f>'Descripcion Actividades'!C67</f>
        <v>1 No se requiere recorrer trayectos superiores a 5 kilómetros para el aprovisionamiento de materiales e insumos.</v>
      </c>
      <c r="M67" s="134">
        <v>4</v>
      </c>
      <c r="N67" s="134" t="str">
        <f>'Descripcion Actividades'!C85</f>
        <v>1 El suministro de gas no es relevante para la ejecución del contrato.</v>
      </c>
      <c r="O67" s="134">
        <v>5</v>
      </c>
      <c r="P67" s="134" t="str">
        <f>'Descripcion Actividades'!C103</f>
        <v>2 Se requieren algunos ensayos de laboratorio y su disponibilidad es amplia.</v>
      </c>
      <c r="Q67" s="134">
        <v>8</v>
      </c>
      <c r="T67" s="134" t="str">
        <f>'Descripcion Actividades'!C127</f>
        <v>3 La ejecución del contrato se hace en lugares dispersos en un mismo departamento.</v>
      </c>
      <c r="U67" s="134">
        <v>6</v>
      </c>
      <c r="V67" s="134" t="str">
        <f>'Descripcion Actividades'!C135</f>
        <v>2 El lugar para la ejecución del contrato es de fácil acceso y pero los tiempos para acceder pueden variar.</v>
      </c>
      <c r="W67" s="134">
        <v>6</v>
      </c>
      <c r="AM67" s="134" t="str">
        <f t="shared" si="21"/>
        <v>1</v>
      </c>
      <c r="AN67" s="134">
        <f t="shared" si="6"/>
        <v>2</v>
      </c>
      <c r="AO67" s="134" t="str">
        <f t="shared" si="22"/>
        <v>4</v>
      </c>
      <c r="AP67" s="134">
        <f t="shared" si="7"/>
        <v>6</v>
      </c>
      <c r="AR67" s="134">
        <f t="shared" si="1"/>
        <v>0</v>
      </c>
      <c r="AT67" s="134">
        <f t="shared" si="1"/>
        <v>0</v>
      </c>
      <c r="AU67" s="134" t="str">
        <f>MID(L67,1,1)</f>
        <v>1</v>
      </c>
      <c r="AV67" s="134">
        <f t="shared" si="1"/>
        <v>4</v>
      </c>
      <c r="AW67" s="134" t="str">
        <f t="shared" si="86"/>
        <v>1</v>
      </c>
      <c r="AX67" s="134">
        <f t="shared" si="1"/>
        <v>5</v>
      </c>
      <c r="AY67" s="134" t="str">
        <f t="shared" si="91"/>
        <v>2</v>
      </c>
      <c r="AZ67" s="134">
        <f t="shared" si="2"/>
        <v>8</v>
      </c>
      <c r="BB67" s="134">
        <f t="shared" si="2"/>
        <v>0</v>
      </c>
      <c r="BC67" s="134" t="str">
        <f>MID(T67,1,1)</f>
        <v>3</v>
      </c>
      <c r="BD67" s="134">
        <f t="shared" si="2"/>
        <v>6</v>
      </c>
      <c r="BE67" s="134" t="str">
        <f>MID(V67,1,1)</f>
        <v>2</v>
      </c>
      <c r="BF67" s="134">
        <f t="shared" si="2"/>
        <v>6</v>
      </c>
      <c r="BH67" s="134">
        <f t="shared" si="3"/>
        <v>0</v>
      </c>
      <c r="BJ67" s="134">
        <f t="shared" si="3"/>
        <v>0</v>
      </c>
      <c r="BL67" s="134">
        <f t="shared" si="3"/>
        <v>0</v>
      </c>
      <c r="BN67" s="134">
        <f t="shared" si="3"/>
        <v>0</v>
      </c>
      <c r="BP67" s="134">
        <f t="shared" si="4"/>
        <v>0</v>
      </c>
      <c r="BR67" s="134">
        <f t="shared" si="4"/>
        <v>0</v>
      </c>
      <c r="BT67" s="134">
        <f t="shared" si="4"/>
        <v>0</v>
      </c>
      <c r="BV67" s="134">
        <f t="shared" si="14"/>
        <v>1</v>
      </c>
      <c r="BW67" s="134">
        <f>VALUE(AO67)</f>
        <v>4</v>
      </c>
      <c r="BZ67" s="134">
        <f>VALUE(AU67)</f>
        <v>1</v>
      </c>
      <c r="CA67" s="134">
        <f t="shared" si="88"/>
        <v>1</v>
      </c>
      <c r="CB67" s="134">
        <f t="shared" si="92"/>
        <v>2</v>
      </c>
      <c r="CD67" s="134">
        <f>VALUE(BC67)</f>
        <v>3</v>
      </c>
      <c r="CE67" s="134">
        <f>VALUE(BE67)</f>
        <v>2</v>
      </c>
      <c r="CL67" s="142"/>
      <c r="CX67" s="144"/>
      <c r="CY67" s="144"/>
      <c r="CZ67" s="144"/>
      <c r="DA67" s="134">
        <f>IF(AN65=3,AM65,1)*IF(AN66=3,AM66,1)*IF(AN67=3,AM67,1)*IF(AN68=3,AM68,1)*IF(AN69=3,AM69,1)*IF(AN70=3,AM70,1)*IF(AN71=3,AM71,1)*IF(AN72=3,AM72,1)</f>
        <v>1</v>
      </c>
      <c r="DB67" s="134">
        <f>IF(AP65=3,AO65,1)*IF(AP66=3,AO66,1)*IF(AP67=3,AO67,1)*IF(AP68=3,AO68,1)*IF(AP69=3,AO69,1)*IF(BV70=3,AN70,1)*IF(BV71=3,AN71,1)*IF(BV72=3,AN72,1)</f>
        <v>1</v>
      </c>
      <c r="DC67" s="134">
        <f>IF(AR65=3,AQ65,1)*IF(AR66=3,AQ66,1)*IF(AR67=3,AQ67,1)*IF(AR68=3,AQ68,1)*IF(AR69=3,AQ69,1)*IF(AR70=3,AQ70,1)*IF(AR71=3,AQ71,1)*IF(AR72=3,AQ72,1)</f>
        <v>1</v>
      </c>
      <c r="DD67" s="134">
        <f>IF(AT65=3,AS65,1)*IF(AT66=3,AS66,1)*IF(AT67=3,AS67,1)*IF(AT68=3,AS68,1)*IF(AT69=3,AS69,1)*IF(AT70=3,AS70,1)*IF(AT71=3,AS71,1)*IF(AT72=3,AS72,1)</f>
        <v>1</v>
      </c>
      <c r="DE67" s="134">
        <f>IF(AV65=3,AU65,1)*IF(AV66=3,AU66,1)*IF(AV67=3,AU67,1)*IF(AV68=3,AU68,1)*IF(AV69=3,AU69,1)*IF(AV70=3,AU70,1)*IF(AV71=3,AU71,1)*IF(AV72=3,AU72,1)</f>
        <v>1</v>
      </c>
      <c r="DF67" s="134">
        <f>IF(AX65=3,AW65,1)*IF(AX66=3,AW66,1)*IF(AX67=3,AW67,1)*IF(AX68=3,AW68,1)*IF(AX69=3,AW69,1)*IF(AX70=3,AW70,1)*IF(AX71=3,AW71,1)*IF(BZ72=3,AV72,1)</f>
        <v>1</v>
      </c>
      <c r="DG67" s="134">
        <f>IF(AZ65=3,AY65,1)*IF(AZ66=3,AY66,1)*IF(AZ67=3,AY67,1)*IF(AZ68=3,AY68,1)*IF(AZ69=3,AY69,1)*IF(AZ70=3,AY70,1)*IF(AZ71=3,AY71,1)*IF(AZ72=3,AY72,1)</f>
        <v>1</v>
      </c>
      <c r="DH67" s="134">
        <f>IF(BB65=3,BA65,1)*IF(BB66=3,BA66,1)*IF(BB67=3,BA67,1)*IF(BB68=3,BA68,1)*IF(BB69=3,BA69,1)*IF(BB70=3,BA70,1)*IF(BB71=3,BA71,1)*IF(BB72=3,BA72,1)</f>
        <v>1</v>
      </c>
      <c r="DI67" s="134">
        <f>IF(BD65=3,BC65,1)*IF(BD66=3,BC66,1)*IF(BD67=3,BC67,1)*IF(BD68=3,BC68,1)*IF(BD69=3,BC69,1)*IF(BD70=3,BC70,1)*IF(BD71=3,BC71,1)*IF(BD72=3,BC72,1)</f>
        <v>1</v>
      </c>
      <c r="DJ67" s="134">
        <f>IF(BF65=3,BE65,1)*IF(BF66=3,BE66,1)*IF(BF67=3,BE67,1)*IF(BF68=3,BE68,1)*IF(BF69=3,BE69,1)*IF(BF70=3,BE70,1)*IF(BF71=3,BE71,1)*IF(BF72=3,BE72,1)</f>
        <v>1</v>
      </c>
      <c r="DK67" s="134">
        <f>IF(BH65=3,BG65,1)*IF(BH66=3,BG66,1)*IF(BH67=3,BG67,1)*IF(BH68=3,BG68,1)*IF(BH69=3,BG69,1)*IF(BH70=3,BG70,1)*IF(BH71=3,BG71,1)*IF(BH72=3,BG72,1)</f>
        <v>1</v>
      </c>
      <c r="DL67" s="134">
        <f>IF(BJ65=3,BI65,1)*IF(BJ66=3,BI66,1)*IF(BJ67=3,BI67,1)*IF(BJ68=3,BI68,1)*IF(BJ69=3,BI69,1)*IF(BJ70=3,BI70,1)*IF(BJ71=3,BI71,1)*IF(BJ72=3,BI72,1)</f>
        <v>1</v>
      </c>
      <c r="DM67" s="134">
        <f>IF(BL65=3,BK65,1)*IF(BL66=3,BK66,1)*IF(BL67=3,BK67,1)*IF(BL68=3,BK68,1)*IF(BL69=3,BK69,1)*IF(BL70=3,BK70,1)*IF(BL71=3,BK71,1)*IF(BL72=3,BK72,1)</f>
        <v>1</v>
      </c>
      <c r="DN67" s="134">
        <f>IF(BN65=3,BM65,1)*IF(BN66=3,BM66,1)*IF(BN67=3,BM67,1)*IF(BN68=3,BM68,1)*IF(BN69=3,BM69,1)*IF(BN70=3,BM70,1)*IF(BN71=3,BM71,1)*IF(BN72=3,BM72,1)</f>
        <v>1</v>
      </c>
      <c r="DO67" s="134">
        <f>IF(BP65=3,BO65,1)*IF(BP66=3,BO66,1)*IF(BP67=3,BO67,1)*IF(BP68=3,BO68,1)*IF(BP69=3,BO69,1)*IF(BP70=3,BO70,1)*IF(BP71=3,BO71,1)*IF(BP72=3,BO72,1)</f>
        <v>1</v>
      </c>
      <c r="DP67" s="134">
        <f>IF(BR65=3,BQ65,1)*IF(BR66=3,BQ66,1)*IF(BR67=3,BQ67,1)*IF(BR68=3,BQ68,1)*IF(BR69=3,BQ69,1)*IF(BR70=3,BQ70,1)*IF(BR71=3,BQ71,1)*IF(BR72=3,BQ72,1)</f>
        <v>1</v>
      </c>
      <c r="DQ67" s="144">
        <f t="shared" si="90"/>
        <v>1</v>
      </c>
    </row>
    <row r="68" spans="2:122" x14ac:dyDescent="0.25">
      <c r="B68" s="134">
        <v>4</v>
      </c>
      <c r="C68" s="135" t="s">
        <v>286</v>
      </c>
      <c r="F68" s="134" t="str">
        <f>'Descripcion Actividades'!C46</f>
        <v>1 Se requiere una sola modalidad de transporte</v>
      </c>
      <c r="G68" s="134">
        <v>6</v>
      </c>
      <c r="L68" s="134" t="str">
        <f>'Descripcion Actividades'!C73</f>
        <v>1 Los materiales e insumos son todos de origen nacional.</v>
      </c>
      <c r="M68" s="134">
        <v>4</v>
      </c>
      <c r="N68" s="134" t="str">
        <f>'Descripcion Actividades'!C87</f>
        <v>5 Se requiere aprovisionarse de medios de telecomunicación satelital.</v>
      </c>
      <c r="O68" s="134">
        <v>2</v>
      </c>
      <c r="P68" s="134" t="str">
        <f>'Descripcion Actividades'!C105</f>
        <v>1 No se requieren disposición de residuos o escombros.</v>
      </c>
      <c r="Q68" s="134">
        <v>6</v>
      </c>
      <c r="V68" s="134" t="str">
        <f>'Descripcion Actividades'!C137</f>
        <v>1 La obra contempla actividades a nivel de piso.</v>
      </c>
      <c r="W68" s="134">
        <v>6</v>
      </c>
      <c r="AN68" s="134">
        <f t="shared" si="6"/>
        <v>0</v>
      </c>
      <c r="AO68" s="134" t="str">
        <f t="shared" si="22"/>
        <v>1</v>
      </c>
      <c r="AP68" s="134">
        <f t="shared" si="7"/>
        <v>6</v>
      </c>
      <c r="AR68" s="134">
        <f t="shared" si="1"/>
        <v>0</v>
      </c>
      <c r="AT68" s="134">
        <f t="shared" si="1"/>
        <v>0</v>
      </c>
      <c r="AU68" s="134" t="str">
        <f>MID(L68,1,1)</f>
        <v>1</v>
      </c>
      <c r="AV68" s="134">
        <f t="shared" si="1"/>
        <v>4</v>
      </c>
      <c r="AW68" s="134" t="str">
        <f t="shared" si="86"/>
        <v>5</v>
      </c>
      <c r="AX68" s="134">
        <f t="shared" si="1"/>
        <v>2</v>
      </c>
      <c r="AY68" s="134" t="str">
        <f t="shared" si="91"/>
        <v>1</v>
      </c>
      <c r="AZ68" s="134">
        <f t="shared" si="2"/>
        <v>6</v>
      </c>
      <c r="BB68" s="134">
        <f t="shared" si="2"/>
        <v>0</v>
      </c>
      <c r="BD68" s="134">
        <f t="shared" si="2"/>
        <v>0</v>
      </c>
      <c r="BE68" s="134" t="str">
        <f>MID(V68,1,1)</f>
        <v>1</v>
      </c>
      <c r="BF68" s="134">
        <f t="shared" si="2"/>
        <v>6</v>
      </c>
      <c r="BH68" s="134">
        <f t="shared" si="3"/>
        <v>0</v>
      </c>
      <c r="BJ68" s="134">
        <f t="shared" si="3"/>
        <v>0</v>
      </c>
      <c r="BL68" s="134">
        <f t="shared" si="3"/>
        <v>0</v>
      </c>
      <c r="BN68" s="134">
        <f t="shared" si="3"/>
        <v>0</v>
      </c>
      <c r="BP68" s="134">
        <f t="shared" si="4"/>
        <v>0</v>
      </c>
      <c r="BR68" s="134">
        <f t="shared" si="4"/>
        <v>0</v>
      </c>
      <c r="BT68" s="134">
        <f t="shared" si="4"/>
        <v>0</v>
      </c>
      <c r="BW68" s="134">
        <f>VALUE(AO68)</f>
        <v>1</v>
      </c>
      <c r="BZ68" s="134">
        <f>VALUE(AU68)</f>
        <v>1</v>
      </c>
      <c r="CA68" s="134">
        <f t="shared" si="88"/>
        <v>5</v>
      </c>
      <c r="CB68" s="134">
        <f t="shared" si="92"/>
        <v>1</v>
      </c>
      <c r="CE68" s="134">
        <f>VALUE(BE68)</f>
        <v>1</v>
      </c>
      <c r="CL68" s="142"/>
      <c r="CX68" s="144"/>
      <c r="CY68" s="144"/>
      <c r="CZ68" s="144"/>
      <c r="DA68" s="134">
        <f>IF(AN65=4,AM65,1)*IF(AN66=4,AM66,1)*IF(AN67=4,AM67,1)*IF(AN68=4,AM68,1)*IF(AN69=4,AM69,1)*IF(AN70=4,AM70,1)*IF(AN71=4,AM71,1)*IF(AN72=4,AM72,1)</f>
        <v>1</v>
      </c>
      <c r="DB68" s="134">
        <f>IF(AP65=4,AO65,1)*IF(AP66=4,AO66,1)*IF(AP67=4,AO67,1)*IF(AP68=4,AO68,1)*IF(AP69=4,AO69,1)*IF(BV70=4,AN70,1)*IF(BV71=4,AN71,1)*IF(BV72=4,AN72,1)</f>
        <v>1</v>
      </c>
      <c r="DC68" s="134">
        <f>IF(AR65=4,AQ65,1)*IF(AR66=4,AQ66,1)*IF(AR67=4,AQ67,1)*IF(AR68=4,AQ68,1)*IF(AR69=4,AQ69,1)*IF(AR70=4,AQ70,1)*IF(AR71=4,AQ71,1)*IF(AR72=4,AQ72,1)</f>
        <v>1</v>
      </c>
      <c r="DD68" s="134">
        <f>IF(AT65=4,AS65,1)*IF(AT66=4,AS66,1)*IF(AT67=4,AS67,1)*IF(AT68=4,AS68,1)*IF(AT69=4,AS69,1)*IF(AT70=4,AS70,1)*IF(AT71=4,AS71,1)*IF(AT72=4,AS72,1)</f>
        <v>1</v>
      </c>
      <c r="DE68" s="134">
        <f>IF(AV65=4,AU65,1)*IF(AV66=4,AU66,1)*IF(AV67=4,AU67,1)*IF(AV68=4,AU68,1)*IF(AV69=4,AU69,1)*IF(AV70=4,AU70,1)*IF(AV71=4,AU71,1)*IF(AV72=4,AU72,1)</f>
        <v>1</v>
      </c>
      <c r="DF68" s="134">
        <f>IF(AX65=4,AW65,1)*IF(AX66=4,AW66,1)*IF(AX67=4,AW67,1)*IF(AX68=4,AW68,1)*IF(AX69=4,AW69,1)*IF(AX70=4,AW70,1)*IF(AX71=4,AW71,1)*IF(BZ72=4,AV72,1)</f>
        <v>1</v>
      </c>
      <c r="DG68" s="134">
        <f>IF(AZ65=4,AY65,1)*IF(AZ66=4,AY66,1)*IF(AZ67=4,AY67,1)*IF(AZ68=4,AY68,1)*IF(AZ69=4,AY69,1)*IF(AZ70=4,AY70,1)*IF(AZ71=4,AY71,1)*IF(AZ72=4,AY72,1)</f>
        <v>1</v>
      </c>
      <c r="DH68" s="134">
        <f>IF(BB65=4,BA65,1)*IF(BB66=4,BA66,1)*IF(BB67=4,BA67,1)*IF(BB68=4,BA68,1)*IF(BB69=4,BA69,1)*IF(BB70=4,BA70,1)*IF(BB71=4,BA71,1)*IF(BB72=4,BA72,1)</f>
        <v>1</v>
      </c>
      <c r="DI68" s="134">
        <f>IF(BD65=4,BC65,1)*IF(BD66=4,BC66,1)*IF(BD67=4,BC67,1)*IF(BD68=4,BC68,1)*IF(BD69=4,BC69,1)*IF(BD70=4,BC70,1)*IF(BD71=4,BC71,1)*IF(BD72=4,BC72,1)</f>
        <v>1</v>
      </c>
      <c r="DJ68" s="134">
        <f>IF(BF65=4,BE65,1)*IF(BF66=4,BE66,1)*IF(BF67=4,BE67,1)*IF(BF68=4,BE68,1)*IF(BF69=4,BE69,1)*IF(BF70=4,BE70,1)*IF(BF71=4,BE71,1)*IF(BF72=4,BE72,1)</f>
        <v>1</v>
      </c>
      <c r="DK68" s="134">
        <f>IF(BH65=4,BG65,1)*IF(BH66=4,BG66,1)*IF(BH67=4,BG67,1)*IF(BH68=4,BG68,1)*IF(BH69=4,BG69,1)*IF(BH70=4,BG70,1)*IF(BH71=4,BG71,1)*IF(BH72=4,BG72,1)</f>
        <v>1</v>
      </c>
      <c r="DL68" s="134">
        <f>IF(BJ65=4,BI65,1)*IF(BJ66=4,BI66,1)*IF(BJ67=4,BI67,1)*IF(BJ68=4,BI68,1)*IF(BJ69=4,BI69,1)*IF(BJ70=4,BI70,1)*IF(BJ71=4,BI71,1)*IF(BJ72=4,BI72,1)</f>
        <v>1</v>
      </c>
      <c r="DM68" s="134">
        <f>IF(BL65=4,BK65,1)*IF(BL66=4,BK66,1)*IF(BL67=4,BK67,1)*IF(BL68=4,BK68,1)*IF(BL69=4,BK69,1)*IF(BL70=4,BK70,1)*IF(BL71=4,BK71,1)*IF(BL72=4,BK72,1)</f>
        <v>1</v>
      </c>
      <c r="DN68" s="134">
        <f>IF(BN65=4,BM65,1)*IF(BN66=4,BM66,1)*IF(BN67=4,BM67,1)*IF(BN68=4,BM68,1)*IF(BN69=4,BM69,1)*IF(BN70=4,BM70,1)*IF(BN71=4,BM71,1)*IF(BN72=4,BM72,1)</f>
        <v>1</v>
      </c>
      <c r="DO68" s="134">
        <f>IF(BP65=4,BO65,1)*IF(BP66=4,BO66,1)*IF(BP67=4,BO67,1)*IF(BP68=4,BO68,1)*IF(BP69=4,BO69,1)*IF(BP70=4,BO70,1)*IF(BP71=4,BO71,1)*IF(BP72=4,BO72,1)</f>
        <v>1</v>
      </c>
      <c r="DP68" s="134">
        <f>IF(BR65=4,BQ65,1)*IF(BR66=4,BQ66,1)*IF(BR67=4,BQ67,1)*IF(BR68=4,BQ68,1)*IF(BR69=4,BQ69,1)*IF(BR70=4,BQ70,1)*IF(BR71=4,BQ71,1)*IF(BR72=4,BQ72,1)</f>
        <v>1</v>
      </c>
      <c r="DQ68" s="144">
        <f t="shared" si="90"/>
        <v>1</v>
      </c>
    </row>
    <row r="69" spans="2:122" x14ac:dyDescent="0.25">
      <c r="B69" s="134">
        <v>5</v>
      </c>
      <c r="C69" s="135" t="s">
        <v>287</v>
      </c>
      <c r="L69" s="134" t="str">
        <f>'Descripcion Actividades'!C75</f>
        <v>1 No se contemplan materiales e insumos perecederos para la ejecución del contrato.</v>
      </c>
      <c r="M69" s="134">
        <v>3</v>
      </c>
      <c r="N69" s="134" t="str">
        <f>'Descripcion Actividades'!C89</f>
        <v>5 Se requiere aprovisionarse de servicio de conectividad satelital.</v>
      </c>
      <c r="O69" s="134">
        <v>2</v>
      </c>
      <c r="V69" s="134" t="str">
        <f>'Descripcion Actividades'!C139</f>
        <v>1 La obra no contempla  actividades de excavación, cimentación o instalación de estructuras elevadas o de elementos de gran tamaño y elevado peso.</v>
      </c>
      <c r="W69" s="134">
        <v>6</v>
      </c>
      <c r="AN69" s="134">
        <f t="shared" si="6"/>
        <v>0</v>
      </c>
      <c r="AP69" s="134">
        <f t="shared" si="7"/>
        <v>0</v>
      </c>
      <c r="AR69" s="134">
        <f t="shared" si="1"/>
        <v>0</v>
      </c>
      <c r="AT69" s="134">
        <f t="shared" si="1"/>
        <v>0</v>
      </c>
      <c r="AU69" s="134" t="str">
        <f>MID(L69,1,1)</f>
        <v>1</v>
      </c>
      <c r="AV69" s="134">
        <f t="shared" si="1"/>
        <v>3</v>
      </c>
      <c r="AW69" s="134" t="str">
        <f t="shared" si="86"/>
        <v>5</v>
      </c>
      <c r="AX69" s="134">
        <f t="shared" si="1"/>
        <v>2</v>
      </c>
      <c r="AZ69" s="134">
        <f t="shared" si="2"/>
        <v>0</v>
      </c>
      <c r="BB69" s="134">
        <f t="shared" si="2"/>
        <v>0</v>
      </c>
      <c r="BD69" s="134">
        <f t="shared" si="2"/>
        <v>0</v>
      </c>
      <c r="BE69" s="134" t="str">
        <f>MID(V69,1,1)</f>
        <v>1</v>
      </c>
      <c r="BF69" s="134">
        <f t="shared" si="2"/>
        <v>6</v>
      </c>
      <c r="BH69" s="134">
        <f t="shared" si="3"/>
        <v>0</v>
      </c>
      <c r="BJ69" s="134">
        <f t="shared" si="3"/>
        <v>0</v>
      </c>
      <c r="BL69" s="134">
        <f t="shared" si="3"/>
        <v>0</v>
      </c>
      <c r="BN69" s="134">
        <f t="shared" si="3"/>
        <v>0</v>
      </c>
      <c r="BP69" s="134">
        <f t="shared" si="4"/>
        <v>0</v>
      </c>
      <c r="BR69" s="134">
        <f t="shared" si="4"/>
        <v>0</v>
      </c>
      <c r="BT69" s="134">
        <f t="shared" si="4"/>
        <v>0</v>
      </c>
      <c r="BZ69" s="134">
        <f>VALUE(AU69)</f>
        <v>1</v>
      </c>
      <c r="CA69" s="134">
        <f t="shared" si="88"/>
        <v>5</v>
      </c>
      <c r="CE69" s="134">
        <f>VALUE(BE69)</f>
        <v>1</v>
      </c>
      <c r="CL69" s="142"/>
      <c r="CX69" s="144"/>
      <c r="CY69" s="144"/>
      <c r="CZ69" s="144"/>
      <c r="DA69" s="134">
        <f>IF(AN65=5,AM65,1)*IF(AN66=5,AM66,1)*IF(AN67=5,AM67,1)*IF(AN68=5,AM68,1)*IF(AN69=5,AM69,1)*IF(AN70=5,AM70,1)*IF(AN71=5,AM71,1)*IF(AN72=5,AM72,1)</f>
        <v>1</v>
      </c>
      <c r="DB69" s="134">
        <f>IF(AP65=5,AO65,1)*IF(AP66=5,AO66,1)*IF(AP67=5,AO67,1)*IF(AP68=5,AO68,1)*IF(AP69=5,AO69,1)*IF(BV70=5,AN70,1)*IF(BV71=5,AN71,1)*IF(BV72=5,AN72,1)</f>
        <v>1</v>
      </c>
      <c r="DC69" s="134">
        <f>IF(AR65=5,AQ65,1)*IF(AR66=5,AQ66,1)*IF(AR67=5,AQ67,1)*IF(AR68=5,AQ68,1)*IF(AR69=5,AQ69,1)*IF(AR70=5,AQ70,1)*IF(AR71=5,AQ71,1)*IF(AR72=5,AQ72,1)</f>
        <v>1</v>
      </c>
      <c r="DD69" s="134">
        <f>IF(AT65=5,AS65,1)*IF(AT66=5,AS66,1)*IF(AT67=5,AS67,1)*IF(AT68=5,AS68,1)*IF(AT69=5,AS69,1)*IF(AT70=5,AS70,1)*IF(AT71=5,AS71,1)*IF(AT72=5,AS72,1)</f>
        <v>1</v>
      </c>
      <c r="DE69" s="134">
        <f>IF(AV65=5,AU65,1)*IF(AV66=5,AU66,1)*IF(AV67=5,AU67,1)*IF(AV68=5,AU68,1)*IF(AV69=5,AU69,1)*IF(AV70=5,AU70,1)*IF(AV71=5,AU71,1)*IF(AV72=5,AU72,1)</f>
        <v>1</v>
      </c>
      <c r="DF69" s="134">
        <f>IF(AX65=5,AW65,1)*IF(AX66=5,AW66,1)*IF(AX67=5,AW67,1)*IF(AX68=5,AW68,1)*IF(AX69=5,AW69,1)*IF(AX70=5,AW70,1)*IF(AX71=5,AW71,1)*IF(BZ72=5,AV72,1)</f>
        <v>1</v>
      </c>
      <c r="DG69" s="134">
        <f>IF(AZ65=5,AY65,1)*IF(AZ66=5,AY66,1)*IF(AZ67=5,AY67,1)*IF(AZ68=5,AY68,1)*IF(AZ69=5,AY69,1)*IF(AZ70=5,AY70,1)*IF(AZ71=5,AY71,1)*IF(AZ72=5,AY72,1)</f>
        <v>1</v>
      </c>
      <c r="DH69" s="134">
        <f>IF(BB65=5,BA65,1)*IF(BB66=5,BA66,1)*IF(BB67=5,BA67,1)*IF(BB68=5,BA68,1)*IF(BB69=5,BA69,1)*IF(BB70=5,BA70,1)*IF(BB71=5,BA71,1)*IF(BB72=5,BA72,1)</f>
        <v>1</v>
      </c>
      <c r="DI69" s="134">
        <f>IF(BD65=5,BC65,1)*IF(BD66=5,BC66,1)*IF(BD67=5,BC67,1)*IF(BD68=5,BC68,1)*IF(BD69=5,BC69,1)*IF(BD70=5,BC70,1)*IF(BD71=5,BC71,1)*IF(BD72=5,BC72,1)</f>
        <v>1</v>
      </c>
      <c r="DJ69" s="134">
        <f>IF(BF65=5,BE65,1)*IF(BF66=5,BE66,1)*IF(BF67=5,BE67,1)*IF(BF68=5,BE68,1)*IF(BF69=5,BE69,1)*IF(BF70=5,BE70,1)*IF(BF71=5,BE71,1)*IF(BF72=5,BE72,1)</f>
        <v>1</v>
      </c>
      <c r="DK69" s="134">
        <f>IF(BH65=5,BG65,1)*IF(BH66=5,BG66,1)*IF(BH67=5,BG67,1)*IF(BH68=5,BG68,1)*IF(BH69=5,BG69,1)*IF(BH70=5,BG70,1)*IF(BH71=5,BG71,1)*IF(BH72=5,BG72,1)</f>
        <v>1</v>
      </c>
      <c r="DL69" s="134">
        <f>IF(BJ65=5,BI65,1)*IF(BJ66=5,BI66,1)*IF(BJ67=5,BI67,1)*IF(BJ68=5,BI68,1)*IF(BJ69=5,BI69,1)*IF(BJ70=5,BI70,1)*IF(BJ71=5,BI71,1)*IF(BJ72=5,BI72,1)</f>
        <v>1</v>
      </c>
      <c r="DM69" s="134">
        <f>IF(BL65=5,BK65,1)*IF(BL66=5,BK66,1)*IF(BL67=5,BK67,1)*IF(BL68=5,BK68,1)*IF(BL69=5,BK69,1)*IF(BL70=5,BK70,1)*IF(BL71=5,BK71,1)*IF(BL72=5,BK72,1)</f>
        <v>1</v>
      </c>
      <c r="DN69" s="134">
        <f>IF(BN65=5,BM65,1)*IF(BN66=5,BM66,1)*IF(BN67=5,BM67,1)*IF(BN68=5,BM68,1)*IF(BN69=5,BM69,1)*IF(BN70=5,BM70,1)*IF(BN71=5,BM71,1)*IF(BN72=5,BM72,1)</f>
        <v>1</v>
      </c>
      <c r="DO69" s="134">
        <f>IF(BP65=5,BO65,1)*IF(BP66=5,BO66,1)*IF(BP67=5,BO67,1)*IF(BP68=5,BO68,1)*IF(BP69=5,BO69,1)*IF(BP70=5,BO70,1)*IF(BP71=5,BO71,1)*IF(BP72=5,BO72,1)</f>
        <v>1</v>
      </c>
      <c r="DP69" s="134">
        <f>IF(BR65=5,BQ65,1)*IF(BR66=5,BQ66,1)*IF(BR67=5,BQ67,1)*IF(BR68=5,BQ68,1)*IF(BR69=5,BQ69,1)*IF(BR70=1,BQ70,1)*IF(BR71=5,BQ71,1)*IF(BR72=5,BQ72,1)</f>
        <v>1</v>
      </c>
      <c r="DQ69" s="144">
        <f t="shared" si="90"/>
        <v>1</v>
      </c>
    </row>
    <row r="70" spans="2:122" x14ac:dyDescent="0.25">
      <c r="B70" s="134">
        <v>6</v>
      </c>
      <c r="C70" s="135" t="s">
        <v>288</v>
      </c>
      <c r="N70" s="134" t="str">
        <f>'Descripcion Actividades'!C91</f>
        <v>4 Se requiere el procesamiento de un alto volumen de datos, es relevante para la ejecución del contrato y se realiza con un tercero.</v>
      </c>
      <c r="O70" s="134">
        <v>1</v>
      </c>
      <c r="V70" s="134" t="str">
        <f>'Descripcion Actividades'!C141</f>
        <v>1 La obra no contempla actividades bajo el agua.</v>
      </c>
      <c r="W70" s="134">
        <v>6</v>
      </c>
      <c r="AN70" s="134">
        <f t="shared" si="6"/>
        <v>0</v>
      </c>
      <c r="AP70" s="134">
        <f t="shared" si="7"/>
        <v>0</v>
      </c>
      <c r="AR70" s="134">
        <f t="shared" si="1"/>
        <v>0</v>
      </c>
      <c r="AT70" s="134">
        <f t="shared" si="1"/>
        <v>0</v>
      </c>
      <c r="AV70" s="134">
        <f t="shared" si="1"/>
        <v>0</v>
      </c>
      <c r="AW70" s="134" t="str">
        <f t="shared" si="86"/>
        <v>4</v>
      </c>
      <c r="AX70" s="134">
        <f t="shared" si="1"/>
        <v>1</v>
      </c>
      <c r="AZ70" s="134">
        <f t="shared" si="2"/>
        <v>0</v>
      </c>
      <c r="BB70" s="134">
        <f t="shared" si="2"/>
        <v>0</v>
      </c>
      <c r="BD70" s="134">
        <f t="shared" si="2"/>
        <v>0</v>
      </c>
      <c r="BE70" s="134" t="str">
        <f>MID(V70,1,1)</f>
        <v>1</v>
      </c>
      <c r="BF70" s="134">
        <f t="shared" si="2"/>
        <v>6</v>
      </c>
      <c r="BH70" s="134">
        <f t="shared" si="3"/>
        <v>0</v>
      </c>
      <c r="BJ70" s="134">
        <f t="shared" si="3"/>
        <v>0</v>
      </c>
      <c r="BL70" s="134">
        <f t="shared" si="3"/>
        <v>0</v>
      </c>
      <c r="BN70" s="134">
        <f t="shared" si="3"/>
        <v>0</v>
      </c>
      <c r="BP70" s="134">
        <f t="shared" si="4"/>
        <v>0</v>
      </c>
      <c r="BR70" s="134">
        <f t="shared" si="4"/>
        <v>0</v>
      </c>
      <c r="BT70" s="134">
        <f t="shared" si="4"/>
        <v>0</v>
      </c>
      <c r="CA70" s="134">
        <f t="shared" si="88"/>
        <v>4</v>
      </c>
      <c r="CE70" s="134">
        <f>VALUE(BE70)</f>
        <v>1</v>
      </c>
      <c r="CL70" s="142"/>
      <c r="CX70" s="144"/>
      <c r="CY70" s="144"/>
      <c r="CZ70" s="144"/>
      <c r="DA70" s="134">
        <f>IF(AN65=6,AM65,1)*IF(AN66=6,AM66,1)*IF(AN67=6,AM67,1)*IF(AN68=6,AM68,1)*IF(AN69=6,AM69,1)*IF(AN70=6,AM70,1)*IF(AN71=6,AM71,1)*IF(AN72=6,AM72,1)</f>
        <v>1</v>
      </c>
      <c r="DB70" s="134">
        <f>IF(AP65=6,AO65,1)*IF(AP66=6,AO66,1)*IF(AP67=6,AO67,1)*IF(AP68=6,AO68,1)*IF(AP69=6,AO69,1)*IF(BV70=6,AN70,1)*IF(BV71=6,AN71,1)*IF(BV72=6,AN72,1)</f>
        <v>48</v>
      </c>
      <c r="DC70" s="134">
        <f>IF(AR65=6,AQ65,1)*IF(AR66=6,AQ66,1)*IF(AR67=6,AQ67,1)*IF(AR68=6,AQ68,1)*IF(AR69=6,AQ69,1)*IF(AR70=6,AQ70,1)*IF(AR71=6,AQ71,1)*IF(AR72=6,AQ72,1)</f>
        <v>1</v>
      </c>
      <c r="DD70" s="134">
        <f>IF(AT65=6,AS65,1)*IF(AT66=6,AS66,1)*IF(AT67=6,AS67,1)*IF(AT68=6,AS68,1)*IF(AT69=6,AS69,1)*IF(AT70=6,AS70,1)*IF(AT71=6,AS71,1)*IF(AT72=6,AS72,1)</f>
        <v>1</v>
      </c>
      <c r="DE70" s="134">
        <f>IF(AV65=6,AU65,1)*IF(AV66=6,AU66,1)*IF(AV67=6,AU67,1)*IF(AV68=6,AU68,1)*IF(AV69=6,AU69,1)*IF(AV70=6,AU70,1)*IF(AV71=6,AU71,1)*IF(AV72=6,AU72,1)</f>
        <v>1</v>
      </c>
      <c r="DF70" s="134">
        <f>IF(AX65=6,AW65,1)*IF(AX66=6,AW66,1)*IF(AX67=6,AW67,1)*IF(AX68=6,AW68,1)*IF(AX69=6,AW69,1)*IF(AX70=6,AW70,1)*IF(AX71=6,AW71,1)*IF(BZ72=6,AV72,1)</f>
        <v>1</v>
      </c>
      <c r="DG70" s="134">
        <f>IF(AZ65=6,AY65,1)*IF(AZ66=6,AY66,1)*IF(AZ67=6,AY67,1)*IF(AZ68=6,AY68,1)*IF(AZ69=6,AY69,1)*IF(AZ70=6,AY70,1)*IF(AZ71=6,AY71,1)*IF(AZ72=5,AY72,1)</f>
        <v>1</v>
      </c>
      <c r="DH70" s="134">
        <f>IF(BB65=6,BA65,1)*IF(BB66=6,BA66,1)*IF(BB67=6,BA67,1)*IF(BB68=6,BA68,1)*IF(BB69=6,BA69,1)*IF(BB70=6,BA70,1)*IF(BB71=6,BA71,1)*IF(BB72=6,BA72,1)</f>
        <v>2</v>
      </c>
      <c r="DI70" s="134">
        <f>IF(BD65=6,BC65,1)*IF(BD66=6,BC66,1)*IF(BD67=6,BC67,1)*IF(BD68=6,BC68,1)*IF(BD69=6,BC69,1)*IF(BD70=6,BC70,1)*IF(BD71=6,BC71,1)*IF(BD72=6,BC72,1)</f>
        <v>6</v>
      </c>
      <c r="DJ70" s="134">
        <f>IF(BF65=6,BE65,1)*IF(BF66=6,BE66,1)*IF(BF67=6,BE67,1)*IF(BF68=6,BE68,1)*IF(BF69=6,BE69,1)*IF(BF70=6,BE70,1)*IF(BF71=6,BE71,1)*IF(BF72=6,BE72,1)</f>
        <v>2</v>
      </c>
      <c r="DK70" s="134">
        <f>IF(BH65=6,BG65,1)*IF(BH66=6,BG66,1)*IF(BH67=6,BG67,1)*IF(BH68=6,BG68,1)*IF(BH69=6,BG69,1)*IF(BH70=6,BG70,1)*IF(BH71=6,BG71,1)*IF(BH72=6,BG72,1)</f>
        <v>1</v>
      </c>
      <c r="DL70" s="134">
        <f>IF(BJ65=6,BI65,1)*IF(BJ66=6,BI66,1)*IF(BJ67=6,BI67,1)*IF(BJ68=6,BI68,1)*IF(BJ69=6,BI69,1)*IF(BJ70=6,BI70,1)*IF(BJ71=6,BI71,1)*IF(BJ72=6,BI72,1)</f>
        <v>1</v>
      </c>
      <c r="DM70" s="134">
        <f>IF(BL65=6,BK65,1)*IF(BL66=6,BK66,1)*IF(BL67=6,BK67,1)*IF(BL68=6,BK68,1)*IF(BL69=6,BK69,1)*IF(BL70=6,BK70,1)*IF(BL71=6,BK71,1)*IF(BL72=6,BK72,1)</f>
        <v>1</v>
      </c>
      <c r="DN70" s="134">
        <f>IF(BN65=6,BM65,1)*IF(BN66=6,BM66,1)*IF(BN67=6,BM67,1)*IF(BN68=6,BM68,1)*IF(BN69=6,BM69,1)*IF(BN70=6,BM70,1)*IF(BN71=6,BM71,1)*IF(BN72=6,BM72,1)</f>
        <v>1</v>
      </c>
      <c r="DO70" s="134">
        <f>IF(BP65=6,BO65,1)*IF(BP66=6,BO66,1)*IF(BP67=6,BO67,1)*IF(BP68=6,BO68,1)*IF(BP69=6,BO69,1)*IF(BP70=6,BO70,1)*IF(BP71=6,BO71,1)*IF(BP72=6,BO72,1)</f>
        <v>1</v>
      </c>
      <c r="DP70" s="134">
        <f>IF(BR65=6,BQ65,1)*IF(BR66=6,BQ66,1)*IF(BR67=6,BQ67,1)*IF(BR68=6,BQ68,1)*IF(BR69=6,BQ69,1)*IF(BR70=6,BQ70,1)*IF(BR71=6,BQ71,1)*IF(BR72=6,BQ72,1)</f>
        <v>1</v>
      </c>
      <c r="DQ70" s="144">
        <f t="shared" si="90"/>
        <v>1152</v>
      </c>
    </row>
    <row r="71" spans="2:122" x14ac:dyDescent="0.25">
      <c r="B71" s="134">
        <v>7</v>
      </c>
      <c r="C71" s="135" t="s">
        <v>289</v>
      </c>
      <c r="N71" s="134" t="str">
        <f>'Descripcion Actividades'!C93</f>
        <v>4 Se requiere el almacenamiento de un alto volumen de datos, es relevante para la ejecución del contrato y se realiza con un tercero.</v>
      </c>
      <c r="O71" s="134">
        <v>1</v>
      </c>
      <c r="AN71" s="134">
        <f t="shared" si="6"/>
        <v>0</v>
      </c>
      <c r="AP71" s="134">
        <f t="shared" si="7"/>
        <v>0</v>
      </c>
      <c r="AR71" s="134">
        <f t="shared" si="1"/>
        <v>0</v>
      </c>
      <c r="AT71" s="134">
        <f t="shared" si="1"/>
        <v>0</v>
      </c>
      <c r="AV71" s="134">
        <f t="shared" si="1"/>
        <v>0</v>
      </c>
      <c r="AW71" s="134" t="str">
        <f t="shared" si="86"/>
        <v>4</v>
      </c>
      <c r="AX71" s="134">
        <f t="shared" si="1"/>
        <v>1</v>
      </c>
      <c r="AZ71" s="134">
        <f t="shared" si="2"/>
        <v>0</v>
      </c>
      <c r="BB71" s="134">
        <f t="shared" si="2"/>
        <v>0</v>
      </c>
      <c r="BD71" s="134">
        <f t="shared" si="2"/>
        <v>0</v>
      </c>
      <c r="BF71" s="134">
        <f t="shared" si="2"/>
        <v>0</v>
      </c>
      <c r="BH71" s="134">
        <f t="shared" si="3"/>
        <v>0</v>
      </c>
      <c r="BJ71" s="134">
        <f t="shared" si="3"/>
        <v>0</v>
      </c>
      <c r="BL71" s="134">
        <f t="shared" si="3"/>
        <v>0</v>
      </c>
      <c r="BN71" s="134">
        <f t="shared" si="3"/>
        <v>0</v>
      </c>
      <c r="BP71" s="134">
        <f t="shared" si="4"/>
        <v>0</v>
      </c>
      <c r="BR71" s="134">
        <f t="shared" si="4"/>
        <v>0</v>
      </c>
      <c r="BT71" s="134">
        <f t="shared" si="4"/>
        <v>0</v>
      </c>
      <c r="CA71" s="134">
        <f t="shared" si="88"/>
        <v>4</v>
      </c>
      <c r="CL71" s="142"/>
      <c r="CX71" s="144"/>
      <c r="CY71" s="144"/>
      <c r="CZ71" s="144"/>
      <c r="DA71" s="134">
        <f>IF(AN65=7,AM65,1)*IF(AN66=7,AM66,1)*IF(AN67=7,AM67,1)*IF(AN68=7,AM68,1)*IF(AN69=7,AM69,1)*IF(AN70=7,AM70,1)*IF(AN71=7,AM71,1)*IF(AN72=7,AM72,1)</f>
        <v>1</v>
      </c>
      <c r="DB71" s="134">
        <f>IF(AP65=7,AO65,1)*IF(AP66=7,AO66,1)*IF(AP67=7,AO67,1)*IF(AP68=7,AO68,1)*IF(AP69=7,AO69,1)*IF(BV70=7,AN70,1)*IF(BV71=7,AN71,1)*IF(BV72=7,AN72,1)</f>
        <v>1</v>
      </c>
      <c r="DC71" s="134">
        <f>IF(AR65=7,AQ65,1)*IF(AR66=7,AQ66,1)*IF(AR67=7,AQ67,1)*IF(AR68=7,AQ68,1)*IF(AR69=7,AQ69,1)*IF(AR70=7,AQ70,1)*IF(AR71=7,AQ71,1)*IF(AR72=7,AQ72,1)</f>
        <v>1</v>
      </c>
      <c r="DD71" s="134">
        <f>IF(AT65=7,AS65,1)*IF(AT66=7,AS66,1)*IF(AT67=7,AS67,1)*IF(AT68=7,AS68,1)*IF(AT69=7,AS69,1)*IF(AT70=7,AS70,1)*IF(AT71=7,AS71,1)*IF(AT72=7,AS72,1)</f>
        <v>1</v>
      </c>
      <c r="DE71" s="134">
        <f>IF(AV65=7,AU65,1)*IF(AV66=7,AU66,1)*IF(AV67=7,AU67,1)*IF(AV68=7,AU68,1)*IF(AV69=7,AU69,1)*IF(AV70=7,AU70,1)*IF(AV71=7,AU71,1)*IF(AV72=7,AU72,1)</f>
        <v>1</v>
      </c>
      <c r="DF71" s="134">
        <f>IF(AX65=7,AW65,1)*IF(AX66=7,AW66,1)*IF(AX67=7,AW67,1)*IF(AX68=7,AW68,1)*IF(AX69=7,AW69,1)*IF(AX70=7,AW70,1)*IF(AX71=7,AW71,1)*IF(BZ72=7,AV72,1)</f>
        <v>2</v>
      </c>
      <c r="DG71" s="134">
        <f>IF(AZ65=7,AY65,1)*IF(AZ66=7,AY66,1)*IF(AZ67=7,AY67,1)*IF(AZ68=7,AY68,1)*IF(AZ69=7,AY69,1)*IF(AZ70=7,AY70,1)*IF(AZ71=7,AY71,1)*IF(AZ72=7,AY72,1)</f>
        <v>1</v>
      </c>
      <c r="DH71" s="134">
        <f>IF(BB65=7,BA65,1)*IF(BB66=7,BA66,1)*IF(BB67=7,BA67,1)*IF(BB68=7,BA68,1)*IF(BB69=7,BA69,1)*IF(BB70=7,BA70,1)*IF(BB71=7,BA71,1)*IF(BB72=7,BA72,1)</f>
        <v>1</v>
      </c>
      <c r="DI71" s="134">
        <f>IF(BD65=7,BC65,1)*IF(BD66=7,BC66,1)*IF(BD67=7,BC67,1)*IF(BD68=7,BC68,1)*IF(BD69=7,BC69,1)*IF(BD70=7,BC70,1)*IF(BD71=7,BC71,1)*IF(BD72=7,BC72,1)</f>
        <v>1</v>
      </c>
      <c r="DJ71" s="134">
        <f>IF(BF65=7,BE65,1)*IF(BF66=7,BE66,1)*IF(BF67=7,BE67,1)*IF(BF68=7,BE68,1)*IF(BF69=7,BE69,1)*IF(BF70=7,BE70,1)*IF(BF71=7,BE71,1)*IF(BF72=7,BE72,1)</f>
        <v>1</v>
      </c>
      <c r="DK71" s="134">
        <f>IF(BH65=7,BG65,1)*IF(BH66=7,BG66,1)*IF(BH67=7,BG67,1)*IF(BH68=7,BG68,1)*IF(BH69=7,BG69,1)*IF(BH70=7,BG70,1)*IF(BH71=7,BG71,1)*IF(BH72=7,BG72,1)</f>
        <v>1</v>
      </c>
      <c r="DL71" s="134">
        <f>IF(BJ65=7,BI65,1)*IF(BJ66=7,BI66,1)*IF(BJ67=7,BI67,1)*IF(BJ68=7,BI68,1)*IF(BJ69=7,BI69,1)*IF(BJ70=7,BI70,1)*IF(BJ71=7,BI71,1)*IF(BJ72=7,BI72,1)</f>
        <v>1</v>
      </c>
      <c r="DM71" s="134">
        <f>IF(BL65=7,BK65,1)*IF(BL66=7,BK66,1)*IF(BL67=7,BK67,1)*IF(BL68=7,BK68,1)*IF(BL69=7,BK69,1)*IF(BL70=7,BK70,1)*IF(BL71=7,BK71,1)*IF(BL72=7,BK72,1)</f>
        <v>1</v>
      </c>
      <c r="DN71" s="134">
        <f>IF(BN65=7,BM65,1)*IF(BN66=7,BM66,1)*IF(BN67=7,BM67,1)*IF(BN68=7,BM68,1)*IF(BN69=7,BM69,1)*IF(BN70=7,BM70,1)*IF(BN71=7,BM71,1)*IF(BN72=7,BM72,1)</f>
        <v>1</v>
      </c>
      <c r="DO71" s="134">
        <f>IF(BP65=7,BO65,1)*IF(BP66=7,BO66,1)*IF(BP67=7,BO67,1)*IF(BP68=7,BO68,1)*IF(BP69=7,BO69,1)*IF(BP70=7,BO70,1)*IF(BP71=7,BO71,1)*IF(BP72=7,BO72,1)</f>
        <v>1</v>
      </c>
      <c r="DP71" s="134">
        <f>IF(BR65=7,BQ65,1)*IF(BR66=7,BQ66,1)*IF(BR67=7,BQ67,1)*IF(BR68=7,BQ68,1)*IF(BR69=7,BQ69,1)*IF(BR70=7,BQ70,1)*IF(BR71=7,BQ71,1)*IF(BR72=7,BQ72,1)</f>
        <v>1</v>
      </c>
      <c r="DQ71" s="144">
        <f t="shared" si="90"/>
        <v>2</v>
      </c>
    </row>
    <row r="72" spans="2:122" x14ac:dyDescent="0.25">
      <c r="B72" s="134">
        <v>8</v>
      </c>
      <c r="C72" s="135" t="s">
        <v>290</v>
      </c>
      <c r="N72" s="134" t="str">
        <f>'Descripcion Actividades'!C95</f>
        <v>1 No se requiere servicio de sonido en el contrato</v>
      </c>
      <c r="O72" s="134">
        <v>7</v>
      </c>
      <c r="AN72" s="134">
        <f t="shared" si="6"/>
        <v>0</v>
      </c>
      <c r="AP72" s="134">
        <f t="shared" si="7"/>
        <v>0</v>
      </c>
      <c r="AR72" s="134">
        <f t="shared" si="1"/>
        <v>0</v>
      </c>
      <c r="AT72" s="134">
        <f t="shared" si="1"/>
        <v>0</v>
      </c>
      <c r="AV72" s="134">
        <f t="shared" si="1"/>
        <v>0</v>
      </c>
      <c r="AW72" s="134" t="str">
        <f t="shared" si="86"/>
        <v>1</v>
      </c>
      <c r="AX72" s="134">
        <f t="shared" si="1"/>
        <v>7</v>
      </c>
      <c r="AZ72" s="134">
        <f t="shared" si="2"/>
        <v>0</v>
      </c>
      <c r="BB72" s="134">
        <f t="shared" si="2"/>
        <v>0</v>
      </c>
      <c r="BD72" s="134">
        <f t="shared" si="2"/>
        <v>0</v>
      </c>
      <c r="BF72" s="134">
        <f t="shared" si="2"/>
        <v>0</v>
      </c>
      <c r="BH72" s="134">
        <f t="shared" si="3"/>
        <v>0</v>
      </c>
      <c r="BJ72" s="134">
        <f t="shared" si="3"/>
        <v>0</v>
      </c>
      <c r="BL72" s="134">
        <f t="shared" si="3"/>
        <v>0</v>
      </c>
      <c r="BN72" s="134">
        <f t="shared" si="3"/>
        <v>0</v>
      </c>
      <c r="BP72" s="134">
        <f t="shared" si="4"/>
        <v>0</v>
      </c>
      <c r="BR72" s="134">
        <f t="shared" si="4"/>
        <v>0</v>
      </c>
      <c r="BT72" s="134">
        <f t="shared" si="4"/>
        <v>0</v>
      </c>
      <c r="CA72" s="134">
        <f t="shared" si="88"/>
        <v>1</v>
      </c>
      <c r="CL72" s="142"/>
      <c r="CX72" s="144"/>
      <c r="CY72" s="144"/>
      <c r="CZ72" s="144"/>
      <c r="DA72" s="134">
        <f>IF(AN65=8,AM65,1)*IF(AN66=8,AM66,1)*IF(AN67=8,AM67,1)*IF(AN68=8,AM68,1)*IF(AN69=8,AM69,1)*IF(AN70=8,AM70,1)*IF(AN71=8,AM71,1)*IF(AN72=8,AM72,1)</f>
        <v>1</v>
      </c>
      <c r="DB72" s="134">
        <f>IF(AP65=8,AO65,1)*IF(AP66=8,AO66,1)*IF(AP67=8,AO67,1)*IF(AP68=8,AO68,1)*IF(AP69=8,AO69,1)*IF(BV70=8,AN70,1)*IF(BV71=8,AN71,1)*IF(BV72=8,AN72,1)</f>
        <v>1</v>
      </c>
      <c r="DC72" s="134">
        <f>IF(AR65=8,AQ65,1)*IF(AR66=8,AQ66,1)*IF(AR67=8,AQ67,1)*IF(AR68=8,AQ68,1)*IF(AR69=8,AQ69,1)*IF(AR70=8,AQ70,1)*IF(AR71=8,AQ71,1)*IF(AR72=8,AQ72,1)</f>
        <v>1</v>
      </c>
      <c r="DD72" s="134">
        <f>IF(AT65=8,AS65,1)*IF(AT66=8,AS66,1)*IF(AT67=8,AS67,1)*IF(AT68=8,AS68,1)*IF(AT69=8,AS69,1)*IF(AT70=8,AS70,1)*IF(AT71=8,AS71,1)*IF(AT72=8,AS72,1)</f>
        <v>1</v>
      </c>
      <c r="DE72" s="134">
        <f>IF(AV65=8,AU65,1)*IF(AV66=8,AU66,1)*IF(AV67=8,AU67,1)*IF(AV68=8,AU68,1)*IF(AV69=8,AU69,1)*IF(AV70=8,AU70,1)*IF(AV71=8,AU71,1)*IF(AV72=8,AU72,1)</f>
        <v>1</v>
      </c>
      <c r="DF72" s="134">
        <f>IF(AX65=8,AW65,1)*IF(AX66=8,AW66,1)*IF(AX67=8,AW67,1)*IF(AX68=8,AW68,1)*IF(AX69=8,AW69,1)*IF(AX70=8,AW70,1)*IF(AX71=8,AW71,1)*IF(BZ72=8,AV72,1)</f>
        <v>1</v>
      </c>
      <c r="DG72" s="134">
        <f>IF(AZ65=6,AY65,1)*IF(AZ66=8,AY66,1)*IF(AZ67=8,AY67,1)*IF(AZ68=8,AY68,1)*IF(AZ69=8,AY69,1)*IF(AZ70=8,AY70,1)*IF(AZ71=8,AY71,1)*IF(AZ72=8,AY72,1)</f>
        <v>4</v>
      </c>
      <c r="DH72" s="134">
        <f>IF(BB65=8,BA65,1)*IF(BB66=8,BA66,1)*IF(BB67=8,BA67,1)*IF(BB68=8,BA68,1)*IF(BB69=8,BA69,1)*IF(BB70=8,BA70,1)*IF(BB71=8,BA71,1)*IF(BB72=8,BA72,1)</f>
        <v>1</v>
      </c>
      <c r="DI72" s="134">
        <f>IF(BD65=8,BC65,1)*IF(BD66=8,BC66,1)*IF(BD67=8,BC67,1)*IF(BD68=8,BC68,1)*IF(BD69=8,BC69,1)*IF(BD70=8,BC70,1)*IF(BD71=8,BC71,1)*IF(BD72=8,BC72,1)</f>
        <v>1</v>
      </c>
      <c r="DJ72" s="134">
        <f>IF(BF65=8,BE65,1)*IF(BF66=8,BE66,1)*IF(BF67=8,BE67,1)*IF(BF68=8,BE68,1)*IF(BF69=8,BE69,1)*IF(BF70=8,BE70,1)*IF(BF71=8,BE71,1)*IF(BF72=8,BE72,1)</f>
        <v>1</v>
      </c>
      <c r="DK72" s="134">
        <f>IF(BH65=8,BG65,1)*IF(BH66=8,BG66,1)*IF(BH67=8,BG67,1)*IF(BH68=8,BG68,1)*IF(BH69=8,BG69,1)*IF(BH70=8,BG70,1)*IF(BH71=8,BG71,1)*IF(BH72=8,BG72,1)</f>
        <v>1</v>
      </c>
      <c r="DL72" s="134">
        <f>IF(BJ65=8,BI65,1)*IF(BJ66=8,BI66,1)*IF(BJ67=8,BI67,1)*IF(BJ68=8,BI68,1)*IF(BJ69=8,BI69,1)*IF(BJ70=8,BI70,1)*IF(BJ71=8,BI71,1)*IF(BJ72=8,BI72,1)</f>
        <v>1</v>
      </c>
      <c r="DM72" s="134">
        <f>IF(BL65=8,BK65,1)*IF(BL66=8,BK66,1)*IF(BL67=8,BK67,1)*IF(BL68=8,BK68,1)*IF(BL69=8,BK69,1)*IF(BL70=8,BK70,1)*IF(BL71=8,BK71,1)*IF(BL72=8,BK72,1)</f>
        <v>1</v>
      </c>
      <c r="DN72" s="134">
        <f>IF(BN65=8,BM65,1)*IF(BN66=8,BM66,1)*IF(BN67=8,BM67,1)*IF(BN68=8,BM68,1)*IF(BN69=8,BM69,1)*IF(BN70=8,BM70,1)*IF(BN71=8,BM71,1)*IF(BN72=8,BM72,1)</f>
        <v>1</v>
      </c>
      <c r="DO72" s="134">
        <f>IF(BP65=8,BO65,1)*IF(BP66=8,BO66,1)*IF(BP67=8,BO67,1)*IF(BP68=8,BO68,1)*IF(BP69=8,BO69,1)*IF(BP70=8,BO70,1)*IF(BP71=8,BO71,1)*IF(BP72=8,BO72,1)</f>
        <v>1</v>
      </c>
      <c r="DP72" s="134">
        <f>IF(BR65=8,BQ65,1)*IF(BR66=8,BQ66,1)*IF(BR67=8,BQ67,1)*IF(BR68=8,BQ68,1)*IF(BR69=8,BQ69,1)*IF(BR70=8,BQ70,1)*IF(BR71=8,BQ71,1)*IF(BR72=8,BQ72,1)</f>
        <v>1</v>
      </c>
      <c r="DQ72" s="144">
        <f t="shared" si="90"/>
        <v>4</v>
      </c>
    </row>
    <row r="73" spans="2:122" s="144" customFormat="1" x14ac:dyDescent="0.25">
      <c r="C73" s="147"/>
      <c r="AN73" s="134">
        <f t="shared" si="6"/>
        <v>0</v>
      </c>
      <c r="AP73" s="134">
        <f t="shared" si="7"/>
        <v>0</v>
      </c>
      <c r="AR73" s="134">
        <f t="shared" si="1"/>
        <v>0</v>
      </c>
      <c r="AT73" s="134">
        <f t="shared" si="1"/>
        <v>0</v>
      </c>
      <c r="AV73" s="134">
        <f t="shared" si="1"/>
        <v>0</v>
      </c>
      <c r="AX73" s="134">
        <f t="shared" ref="AX73:AX90" si="93">O73</f>
        <v>0</v>
      </c>
      <c r="AZ73" s="134">
        <f t="shared" si="2"/>
        <v>0</v>
      </c>
      <c r="BB73" s="134">
        <f t="shared" si="2"/>
        <v>0</v>
      </c>
      <c r="BD73" s="134">
        <f t="shared" si="2"/>
        <v>0</v>
      </c>
      <c r="BF73" s="134">
        <f t="shared" ref="BF73:BF90" si="94">W73</f>
        <v>0</v>
      </c>
      <c r="BH73" s="134">
        <f t="shared" si="3"/>
        <v>0</v>
      </c>
      <c r="BJ73" s="134">
        <f t="shared" si="3"/>
        <v>0</v>
      </c>
      <c r="BL73" s="134">
        <f t="shared" si="3"/>
        <v>0</v>
      </c>
      <c r="BN73" s="134">
        <f t="shared" ref="BN73:BN90" si="95">AE73</f>
        <v>0</v>
      </c>
      <c r="BP73" s="134">
        <f t="shared" si="4"/>
        <v>0</v>
      </c>
      <c r="BR73" s="134">
        <f t="shared" si="4"/>
        <v>0</v>
      </c>
      <c r="BT73" s="134">
        <f t="shared" si="4"/>
        <v>0</v>
      </c>
      <c r="BV73" s="144">
        <f>BV65*BV66*BV67</f>
        <v>9</v>
      </c>
      <c r="BW73" s="144">
        <f>BW65*BW66*BW67*BW68</f>
        <v>48</v>
      </c>
      <c r="BX73" s="144">
        <f>BX65*BX66</f>
        <v>1</v>
      </c>
      <c r="BY73" s="144">
        <f>BY65*BY66</f>
        <v>1</v>
      </c>
      <c r="BZ73" s="144">
        <f>BZ65*BZ66*BZ67*BZ68*BZ69</f>
        <v>1</v>
      </c>
      <c r="CA73" s="144">
        <f>CA65*CA66*CA67*CA68*CA69*CA70*CA71*CA72</f>
        <v>800</v>
      </c>
      <c r="CB73" s="144">
        <f>CB65*CB66*CB67*CB68</f>
        <v>4</v>
      </c>
      <c r="CC73" s="144">
        <f>CC65</f>
        <v>2</v>
      </c>
      <c r="CD73" s="144">
        <f>CD65*CD66*CD67</f>
        <v>24</v>
      </c>
      <c r="CE73" s="144">
        <f>CE65*CE66*CE67*CE68*CE69*CE70</f>
        <v>2</v>
      </c>
      <c r="CL73" s="148">
        <f>PRODUCT(BV73:CK73)</f>
        <v>132710400</v>
      </c>
      <c r="CX73" s="144" t="str">
        <f>IF(CL73&lt;CO16,'cap.7 - analisis riesgos'!$B$15,IF('Eval Factores de Riesgo'!CL73&lt;'Eval Factores de Riesgo'!CP16,'cap.7 - analisis riesgos'!$B$16,IF('Eval Factores de Riesgo'!CL73&lt;'Eval Factores de Riesgo'!CQ16,'cap.7 - analisis riesgos'!$B$17,IF('Eval Factores de Riesgo'!CL73&lt;'Eval Factores de Riesgo'!CS16,'cap.7 - analisis riesgos'!$B$18,'cap.7 - analisis riesgos'!$B$19))))</f>
        <v>Posible</v>
      </c>
      <c r="CY73" s="144">
        <f>IF(CL73&lt;CP16,'cap.7 - analisis riesgos'!$G$15,IF('Eval Factores de Riesgo'!CL73&lt;'Eval Factores de Riesgo'!CQ16,'cap.7 - analisis riesgos'!$G$16,IF('Eval Factores de Riesgo'!CL73&lt;'Eval Factores de Riesgo'!CS16,'cap.7 - analisis riesgos'!$G$17,IF('Eval Factores de Riesgo'!CL73&lt;'Eval Factores de Riesgo'!CT16,'cap.7 - analisis riesgos'!$G$18,'cap.7 - analisis riesgos'!$G$19))))</f>
        <v>2</v>
      </c>
      <c r="CZ73" s="144">
        <f>MAX(DA73:DP73)</f>
        <v>800</v>
      </c>
      <c r="DA73" s="144">
        <f>PRODUCT(DA65:DA72)</f>
        <v>9</v>
      </c>
      <c r="DB73" s="144">
        <f t="shared" ref="DB73:DP73" si="96">PRODUCT(DB65:DB72)</f>
        <v>48</v>
      </c>
      <c r="DC73" s="144">
        <f t="shared" si="96"/>
        <v>1</v>
      </c>
      <c r="DD73" s="144">
        <f t="shared" si="96"/>
        <v>1</v>
      </c>
      <c r="DE73" s="144">
        <f t="shared" si="96"/>
        <v>1</v>
      </c>
      <c r="DF73" s="144">
        <f t="shared" si="96"/>
        <v>800</v>
      </c>
      <c r="DG73" s="144">
        <f t="shared" si="96"/>
        <v>4</v>
      </c>
      <c r="DH73" s="144">
        <f t="shared" si="96"/>
        <v>2</v>
      </c>
      <c r="DI73" s="144">
        <f t="shared" si="96"/>
        <v>24</v>
      </c>
      <c r="DJ73" s="144">
        <f t="shared" si="96"/>
        <v>2</v>
      </c>
      <c r="DK73" s="144">
        <f t="shared" si="96"/>
        <v>1</v>
      </c>
      <c r="DL73" s="144">
        <f t="shared" si="96"/>
        <v>1</v>
      </c>
      <c r="DM73" s="144">
        <f t="shared" si="96"/>
        <v>1</v>
      </c>
      <c r="DN73" s="144">
        <f t="shared" si="96"/>
        <v>1</v>
      </c>
      <c r="DO73" s="144">
        <f t="shared" si="96"/>
        <v>1</v>
      </c>
      <c r="DP73" s="144">
        <f t="shared" si="96"/>
        <v>1</v>
      </c>
    </row>
    <row r="74" spans="2:122" s="144" customFormat="1" x14ac:dyDescent="0.25">
      <c r="C74" s="147"/>
      <c r="AN74" s="134"/>
      <c r="AP74" s="134"/>
      <c r="AR74" s="134"/>
      <c r="AT74" s="134"/>
      <c r="AV74" s="134"/>
      <c r="AX74" s="134"/>
      <c r="AZ74" s="134"/>
      <c r="BB74" s="134"/>
      <c r="BD74" s="134"/>
      <c r="BF74" s="134"/>
      <c r="BH74" s="134"/>
      <c r="BJ74" s="134"/>
      <c r="BL74" s="134"/>
      <c r="BN74" s="134"/>
      <c r="BP74" s="134"/>
      <c r="BR74" s="134"/>
      <c r="BT74" s="134"/>
      <c r="CL74" s="150"/>
      <c r="DA74" s="144">
        <f>$CZ$73-DA73</f>
        <v>791</v>
      </c>
      <c r="DB74" s="144">
        <f t="shared" ref="DB74:DP74" si="97">$CZ$73-DB73</f>
        <v>752</v>
      </c>
      <c r="DC74" s="144">
        <f t="shared" si="97"/>
        <v>799</v>
      </c>
      <c r="DD74" s="144">
        <f t="shared" si="97"/>
        <v>799</v>
      </c>
      <c r="DE74" s="144">
        <f t="shared" si="97"/>
        <v>799</v>
      </c>
      <c r="DF74" s="144">
        <f t="shared" si="97"/>
        <v>0</v>
      </c>
      <c r="DG74" s="144">
        <f t="shared" si="97"/>
        <v>796</v>
      </c>
      <c r="DH74" s="144">
        <f t="shared" si="97"/>
        <v>798</v>
      </c>
      <c r="DI74" s="144">
        <f t="shared" si="97"/>
        <v>776</v>
      </c>
      <c r="DJ74" s="144">
        <f t="shared" si="97"/>
        <v>798</v>
      </c>
      <c r="DK74" s="144">
        <f t="shared" si="97"/>
        <v>799</v>
      </c>
      <c r="DL74" s="144">
        <f t="shared" si="97"/>
        <v>799</v>
      </c>
      <c r="DM74" s="144">
        <f t="shared" si="97"/>
        <v>799</v>
      </c>
      <c r="DN74" s="144">
        <f t="shared" si="97"/>
        <v>799</v>
      </c>
      <c r="DO74" s="144">
        <f t="shared" si="97"/>
        <v>799</v>
      </c>
      <c r="DP74" s="144">
        <f t="shared" si="97"/>
        <v>799</v>
      </c>
      <c r="DR74" s="144">
        <f>IF(DA74=0,DA64,IF(DB74=0,DB64,IF(DC74=0,DC64,IF(DD74=0,DD64,IF(DE74=0,DE64,IF(DF74=0,DF64,IF(DG74=0,DG64,IF(DH74=0,DH64,IF(DI74=0,DI64,IF(DJ74=0,DJ64,IF(DK74=0,DK64,IF(DL74=0,DL64,IF(DM74=0,DM64,IF(DN74=0,DN64,IF(DO74=0,DO64,DP64)))))))))))))))</f>
        <v>12</v>
      </c>
    </row>
    <row r="75" spans="2:122" x14ac:dyDescent="0.25">
      <c r="AN75" s="134">
        <f t="shared" si="6"/>
        <v>0</v>
      </c>
      <c r="AP75" s="134">
        <f t="shared" si="7"/>
        <v>0</v>
      </c>
      <c r="AR75" s="134">
        <f t="shared" ref="AR75:AR90" si="98">I75</f>
        <v>0</v>
      </c>
      <c r="AT75" s="134">
        <f t="shared" ref="AT75:AT90" si="99">K75</f>
        <v>0</v>
      </c>
      <c r="AV75" s="134">
        <f t="shared" ref="AV75:AV90" si="100">M75</f>
        <v>0</v>
      </c>
      <c r="AX75" s="134">
        <f t="shared" si="93"/>
        <v>0</v>
      </c>
      <c r="AZ75" s="134">
        <f t="shared" ref="AZ75:AZ90" si="101">Q75</f>
        <v>0</v>
      </c>
      <c r="BB75" s="134">
        <f t="shared" ref="BB75:BB90" si="102">S75</f>
        <v>0</v>
      </c>
      <c r="BD75" s="134">
        <f t="shared" ref="BD75:BD90" si="103">U75</f>
        <v>0</v>
      </c>
      <c r="BF75" s="134">
        <f t="shared" si="94"/>
        <v>0</v>
      </c>
      <c r="BH75" s="134">
        <f t="shared" ref="BH75:BH90" si="104">Y75</f>
        <v>0</v>
      </c>
      <c r="BJ75" s="134">
        <f t="shared" ref="BJ75:BJ90" si="105">AA75</f>
        <v>0</v>
      </c>
      <c r="BL75" s="134">
        <f t="shared" ref="BL75:BL90" si="106">AC75</f>
        <v>0</v>
      </c>
      <c r="BN75" s="134">
        <f t="shared" si="95"/>
        <v>0</v>
      </c>
      <c r="BP75" s="134">
        <f t="shared" ref="BP75:BP90" si="107">AG75</f>
        <v>0</v>
      </c>
      <c r="BR75" s="134">
        <f t="shared" ref="BR75:BR90" si="108">AI75</f>
        <v>0</v>
      </c>
      <c r="BT75" s="134">
        <f t="shared" ref="BT75:BT90" si="109">AK75</f>
        <v>0</v>
      </c>
      <c r="CL75" s="138" t="s">
        <v>324</v>
      </c>
      <c r="CX75" s="144"/>
      <c r="CY75" s="144"/>
      <c r="CZ75" s="144"/>
      <c r="DA75" s="143" t="str">
        <f>IFERROR(VALUE(MID(D75,1,2)),"")</f>
        <v/>
      </c>
      <c r="DB75" s="143" t="str">
        <f>IFERROR(VALUE(MID(F75,1,2)),"")</f>
        <v/>
      </c>
      <c r="DC75" s="143" t="str">
        <f>IFERROR(VALUE(MID(H75,1,2)),"")</f>
        <v/>
      </c>
      <c r="DD75" s="143" t="str">
        <f>IFERROR(VALUE(MID(J75,1,2)),"")</f>
        <v/>
      </c>
      <c r="DE75" s="143" t="str">
        <f>IFERROR(VALUE(MID(L75,1,2)),"")</f>
        <v/>
      </c>
      <c r="DF75" s="143" t="str">
        <f>IFERROR(VALUE(MID(N75,1,2)),"")</f>
        <v/>
      </c>
      <c r="DG75" s="143" t="str">
        <f>IFERROR(VALUE(MID(P75,1,2)),"")</f>
        <v/>
      </c>
      <c r="DH75" s="143" t="str">
        <f>IFERROR(VALUE(MID(R75,1,2)),"")</f>
        <v/>
      </c>
      <c r="DI75" s="143" t="str">
        <f>IFERROR(VALUE(MID(T75,1,2)),"")</f>
        <v/>
      </c>
      <c r="DJ75" s="143" t="str">
        <f>IFERROR(VALUE(MID(V75,1,2)),"")</f>
        <v/>
      </c>
      <c r="DK75" s="143" t="str">
        <f>IFERROR(VALUE(MID(X75,1,2)),"")</f>
        <v/>
      </c>
      <c r="DL75" s="143" t="str">
        <f>IFERROR(VALUE(MID(Z75,1,2)),"")</f>
        <v/>
      </c>
      <c r="DM75" s="143" t="str">
        <f>IFERROR(VALUE(MID(AB75,1,2)),"")</f>
        <v/>
      </c>
      <c r="DN75" s="143" t="str">
        <f>IFERROR(VALUE(MID(AD75,1,2)),"")</f>
        <v/>
      </c>
      <c r="DO75" s="143" t="str">
        <f>IFERROR(VALUE(MID(AF75,1,2)),"")</f>
        <v/>
      </c>
      <c r="DP75" s="143" t="str">
        <f>IFERROR(VALUE(MID(AH75,1,2)),"")</f>
        <v/>
      </c>
      <c r="DQ75" s="144"/>
    </row>
    <row r="76" spans="2:122" x14ac:dyDescent="0.25">
      <c r="C76" s="141" t="s">
        <v>30</v>
      </c>
      <c r="D76" s="137" t="s">
        <v>590</v>
      </c>
      <c r="F76" s="137" t="s">
        <v>591</v>
      </c>
      <c r="H76" s="151" t="s">
        <v>593</v>
      </c>
      <c r="J76" s="151" t="s">
        <v>581</v>
      </c>
      <c r="L76" s="137" t="s">
        <v>579</v>
      </c>
      <c r="N76" s="137" t="s">
        <v>588</v>
      </c>
      <c r="P76" s="137" t="s">
        <v>583</v>
      </c>
      <c r="R76" s="137" t="s">
        <v>586</v>
      </c>
      <c r="T76" s="137" t="s">
        <v>587</v>
      </c>
      <c r="AN76" s="134">
        <f t="shared" ref="AN76:AN90" si="110">E76</f>
        <v>0</v>
      </c>
      <c r="AP76" s="134">
        <f t="shared" ref="AP76:AP90" si="111">G76</f>
        <v>0</v>
      </c>
      <c r="AR76" s="134">
        <f t="shared" si="98"/>
        <v>0</v>
      </c>
      <c r="AT76" s="134">
        <f t="shared" si="99"/>
        <v>0</v>
      </c>
      <c r="AV76" s="134">
        <f t="shared" si="100"/>
        <v>0</v>
      </c>
      <c r="AX76" s="134">
        <f t="shared" si="93"/>
        <v>0</v>
      </c>
      <c r="AZ76" s="134">
        <f t="shared" si="101"/>
        <v>0</v>
      </c>
      <c r="BB76" s="134">
        <f t="shared" si="102"/>
        <v>0</v>
      </c>
      <c r="BD76" s="134">
        <f t="shared" si="103"/>
        <v>0</v>
      </c>
      <c r="BF76" s="134">
        <f t="shared" si="94"/>
        <v>0</v>
      </c>
      <c r="BH76" s="134">
        <f t="shared" si="104"/>
        <v>0</v>
      </c>
      <c r="BJ76" s="134">
        <f t="shared" si="105"/>
        <v>0</v>
      </c>
      <c r="BL76" s="134">
        <f t="shared" si="106"/>
        <v>0</v>
      </c>
      <c r="BN76" s="134">
        <f t="shared" si="95"/>
        <v>0</v>
      </c>
      <c r="BP76" s="134">
        <f t="shared" si="107"/>
        <v>0</v>
      </c>
      <c r="BR76" s="134">
        <f t="shared" si="108"/>
        <v>0</v>
      </c>
      <c r="BT76" s="134">
        <f t="shared" si="109"/>
        <v>0</v>
      </c>
      <c r="CL76" s="142"/>
      <c r="CX76" s="144"/>
      <c r="CY76" s="144"/>
      <c r="CZ76" s="144"/>
      <c r="DA76" s="143">
        <f>IFERROR(VALUE(MID(D76,1,2)),"")</f>
        <v>6</v>
      </c>
      <c r="DB76" s="143">
        <f>IFERROR(VALUE(MID(F76,1,2)),"")</f>
        <v>7</v>
      </c>
      <c r="DC76" s="143">
        <f>IFERROR(VALUE(MID(H76,1,2)),"")</f>
        <v>9</v>
      </c>
      <c r="DD76" s="143">
        <f>IFERROR(VALUE(MID(J76,1,2)),"")</f>
        <v>10</v>
      </c>
      <c r="DE76" s="143">
        <f>IFERROR(VALUE(MID(L76,1,2)),"")</f>
        <v>11</v>
      </c>
      <c r="DF76" s="143">
        <f>IFERROR(VALUE(MID(N76,1,2)),"")</f>
        <v>17</v>
      </c>
      <c r="DG76" s="143">
        <f>IFERROR(VALUE(MID(P76,1,2)),"")</f>
        <v>14</v>
      </c>
      <c r="DH76" s="143">
        <f>IFERROR(VALUE(MID(R76,1,2)),"")</f>
        <v>15</v>
      </c>
      <c r="DI76" s="143">
        <f>IFERROR(VALUE(MID(T76,1,2)),"")</f>
        <v>16</v>
      </c>
      <c r="DJ76" s="143" t="str">
        <f>IFERROR(VALUE(MID(V76,1,2)),"")</f>
        <v/>
      </c>
      <c r="DK76" s="143" t="str">
        <f>IFERROR(VALUE(MID(X76,1,2)),"")</f>
        <v/>
      </c>
      <c r="DL76" s="143" t="str">
        <f>IFERROR(VALUE(MID(Z76,1,2)),"")</f>
        <v/>
      </c>
      <c r="DM76" s="143" t="str">
        <f>IFERROR(VALUE(MID(AB76,1,2)),"")</f>
        <v/>
      </c>
      <c r="DN76" s="143" t="str">
        <f>IFERROR(VALUE(MID(AD76,1,2)),"")</f>
        <v/>
      </c>
      <c r="DO76" s="143" t="str">
        <f>IFERROR(VALUE(MID(AF76,1,2)),"")</f>
        <v/>
      </c>
      <c r="DP76" s="143" t="str">
        <f>IFERROR(VALUE(MID(AH76,1,2)),"")</f>
        <v/>
      </c>
      <c r="DQ76" s="144"/>
    </row>
    <row r="77" spans="2:122" ht="16.5" x14ac:dyDescent="0.25">
      <c r="B77" s="134">
        <v>1</v>
      </c>
      <c r="C77" s="154" t="s">
        <v>291</v>
      </c>
      <c r="D77" s="134" t="str">
        <f>'Descripcion Actividades'!C14</f>
        <v>3 Algo complejas</v>
      </c>
      <c r="E77" s="134">
        <v>1</v>
      </c>
      <c r="F77" s="134" t="str">
        <f>'Descripcion Actividades'!C33</f>
        <v>1 Los conocimientos o las habilidades requeridos son comunes, muchas personas cuentan con ellos.</v>
      </c>
      <c r="G77" s="134">
        <v>1</v>
      </c>
      <c r="H77" s="145" t="str">
        <f>'Descripcion Actividades'!C51</f>
        <v>1 El contrato no contempla actividades de manipulación y/o suministro de alimentos.</v>
      </c>
      <c r="I77" s="145">
        <v>1</v>
      </c>
      <c r="J77" s="146" t="str">
        <f>'Descripcion Actividades'!C55</f>
        <v>1 El contrato no contempla actividades de manipulación y/o suministro de medicamentos.</v>
      </c>
      <c r="K77" s="146">
        <v>1</v>
      </c>
      <c r="L77" s="134" t="str">
        <f>'Descripcion Actividades'!C65</f>
        <v>1 Hay múltiples fuentes para la consecusión de los materiales e insumos.</v>
      </c>
      <c r="M77" s="134">
        <v>1</v>
      </c>
      <c r="N77" s="134" t="str">
        <f>'Descripcion Actividades'!C110</f>
        <v>3 La estructura de supervisión y niveles de decisión es elaborada y las decisiones se toman en cada nivel según su relevancia para el contrato.</v>
      </c>
      <c r="O77" s="134">
        <v>1</v>
      </c>
      <c r="P77" s="134" t="str">
        <f>'Descripcion Actividades'!C118</f>
        <v>2 Las máquinas, equipos y vehículos son de uso común y su disponibilidad es amplia.</v>
      </c>
      <c r="Q77" s="134">
        <v>1</v>
      </c>
      <c r="R77" s="134" t="str">
        <f>'Descripcion Actividades'!C123</f>
        <v>4 El contrato contempla una cantidad apreciable de actividades de campo especializadas y/o complejas.</v>
      </c>
      <c r="S77" s="134">
        <v>1</v>
      </c>
      <c r="T77" s="134" t="str">
        <f>'Descripcion Actividades'!C131</f>
        <v>1 El contrato no contempla actividades de obra civil.</v>
      </c>
      <c r="U77" s="134">
        <v>1</v>
      </c>
      <c r="AM77" s="134" t="str">
        <f t="shared" si="21"/>
        <v>3</v>
      </c>
      <c r="AN77" s="134">
        <f t="shared" si="110"/>
        <v>1</v>
      </c>
      <c r="AO77" s="134" t="str">
        <f t="shared" si="22"/>
        <v>1</v>
      </c>
      <c r="AP77" s="134">
        <f t="shared" si="111"/>
        <v>1</v>
      </c>
      <c r="AQ77" s="145" t="str">
        <f>MID(H77,1,1)</f>
        <v>1</v>
      </c>
      <c r="AR77" s="134">
        <f t="shared" si="98"/>
        <v>1</v>
      </c>
      <c r="AS77" s="146" t="str">
        <f>MID(J77,1,1)</f>
        <v>1</v>
      </c>
      <c r="AT77" s="134">
        <f t="shared" si="99"/>
        <v>1</v>
      </c>
      <c r="AU77" s="134" t="str">
        <f>MID(L77,1,1)</f>
        <v>1</v>
      </c>
      <c r="AV77" s="134">
        <f t="shared" si="100"/>
        <v>1</v>
      </c>
      <c r="AW77" s="134" t="str">
        <f>MID(N77,1,1)</f>
        <v>3</v>
      </c>
      <c r="AX77" s="134">
        <f t="shared" si="93"/>
        <v>1</v>
      </c>
      <c r="AY77" s="134" t="str">
        <f>MID(P77,1,1)</f>
        <v>2</v>
      </c>
      <c r="AZ77" s="134">
        <f t="shared" si="101"/>
        <v>1</v>
      </c>
      <c r="BA77" s="134" t="str">
        <f>MID(R77,1,1)</f>
        <v>4</v>
      </c>
      <c r="BB77" s="134">
        <f t="shared" si="102"/>
        <v>1</v>
      </c>
      <c r="BC77" s="134" t="str">
        <f t="shared" ref="BC77:BC82" si="112">MID(T77,1,1)</f>
        <v>1</v>
      </c>
      <c r="BD77" s="134">
        <f t="shared" si="103"/>
        <v>1</v>
      </c>
      <c r="BF77" s="134">
        <f t="shared" si="94"/>
        <v>0</v>
      </c>
      <c r="BH77" s="134">
        <f t="shared" si="104"/>
        <v>0</v>
      </c>
      <c r="BJ77" s="134">
        <f t="shared" si="105"/>
        <v>0</v>
      </c>
      <c r="BL77" s="134">
        <f t="shared" si="106"/>
        <v>0</v>
      </c>
      <c r="BN77" s="134">
        <f t="shared" si="95"/>
        <v>0</v>
      </c>
      <c r="BP77" s="134">
        <f t="shared" si="107"/>
        <v>0</v>
      </c>
      <c r="BR77" s="134">
        <f t="shared" si="108"/>
        <v>0</v>
      </c>
      <c r="BT77" s="134">
        <f t="shared" si="109"/>
        <v>0</v>
      </c>
      <c r="BV77" s="134">
        <f t="shared" si="14"/>
        <v>3</v>
      </c>
      <c r="BW77" s="134">
        <f>VALUE(AO77)</f>
        <v>1</v>
      </c>
      <c r="BX77" s="145">
        <f>VALUE(AQ77)</f>
        <v>1</v>
      </c>
      <c r="BY77" s="146">
        <f t="shared" si="42"/>
        <v>1</v>
      </c>
      <c r="BZ77" s="134">
        <f>VALUE(AU77)</f>
        <v>1</v>
      </c>
      <c r="CA77" s="134">
        <f>VALUE(AW77)</f>
        <v>3</v>
      </c>
      <c r="CB77" s="134">
        <f>VALUE(AY77)</f>
        <v>2</v>
      </c>
      <c r="CC77" s="134">
        <f>VALUE(BA77)</f>
        <v>4</v>
      </c>
      <c r="CD77" s="134">
        <f t="shared" ref="CD77:CD82" si="113">VALUE(BC77)</f>
        <v>1</v>
      </c>
      <c r="CL77" s="142"/>
      <c r="CX77" s="144"/>
      <c r="CY77" s="144"/>
      <c r="CZ77" s="144"/>
      <c r="DA77" s="134">
        <f>IF(AN75=3,AM75,1)*IF(AN76=3,AM76,1)*IF(AN77=3,AM77,1)*IF(AN78=3,AM78,1)*IF(AN79=3,AM79,1)*IF(AN80=3,AM80,1)*IF(AN81=3,AM81,1)*IF(AN82=3,AM82,1)</f>
        <v>1</v>
      </c>
      <c r="DB77" s="134">
        <f>IF(AP75=3,AO75,1)*IF(AP76=3,AO76,1)*IF(AP77=3,AO77,1)*IF(AP78=3,AO78,1)*IF(AP79=3,AO79,1)*IF(AP80=3,AO80,1)*IF(AP81=3,AO81,1)*IF(AP82=3,AO82,1)</f>
        <v>1</v>
      </c>
      <c r="DC77" s="134">
        <f>IF(AR75=3,AQ75,1)*IF(AR76=3,AQ76,1)*IF(AR77=3,AQ77,1)*IF(AR78=3,AQ78,1)*IF(AR79=3,AQ79,1)*IF(AR80=3,AQ80,1)*IF(AR81=3,AQ81,1)*IF(AR82=3,AQ82,1)</f>
        <v>1</v>
      </c>
      <c r="DD77" s="134">
        <f>IF(AT75=3,AS75,1)*IF(AT76=3,AS76,1)*IF(AT77=3,AS77,1)*IF(AT78=3,AS78,1)*IF(AT79=3,AS79,1)*IF(AT80=3,AS80,1)*IF(AT81=3,AS81,1)*IF(AT82=3,AS82,1)</f>
        <v>1</v>
      </c>
      <c r="DE77" s="134">
        <f>IF(AV75=3,AU75,1)*IF(AV76=3,AU76,1)*IF(AV77=3,AU77,1)*IF(AV78=3,AU78,1)*IF(AV79=3,AU79,1)*IF(AV80=3,AU80,1)*IF(AV81=3,AU81,1)*IF(AV82=3,AU82,1)</f>
        <v>1</v>
      </c>
      <c r="DF77" s="134">
        <f>IF(AX75=3,AW75,1)*IF(AX76=3,AW76,1)*IF(AX77=3,AW77,1)*IF(AX78=3,AW78,1)*IF(AX79=3,AW79,1)*IF(AX80=3,AW80,1)*IF(AX81=3,AW81,1)*IF(AX82=3,AW82,1)</f>
        <v>1</v>
      </c>
      <c r="DG77" s="134">
        <f>IF(AZ75=3,AY75,1)*IF(AZ76=3,AY76,1)*IF(AZ77=3,AY77,1)*IF(AZ78=3,AY78,1)*IF(AZ79=3,AY79,1)*IF(AZ80=3,AY80,1)*IF(AZ81=3,AY81,1)*IF(AZ82=3,AY82,1)</f>
        <v>1</v>
      </c>
      <c r="DH77" s="134">
        <f>IF(BB75=3,BA75,1)*IF(BB76=3,BA76,1)*IF(BB77=3,BA77,1)*IF(BB78=3,BA78,1)*IF(BB79=3,BA79,1)*IF(BB80=3,BA80,1)*IF(BB81=3,BA81,1)*IF(BB82=3,BA82,1)</f>
        <v>1</v>
      </c>
      <c r="DI77" s="134">
        <f>IF(BD75=3,BC75,1)*IF(BD76=3,BC76,1)*IF(BD77=3,BC77,1)*IF(BD78=3,BC78,1)*IF(BD79=3,BC79,1)*IF(BD80=3,BC80,1)*IF(BD81=3,BC81,1)*IF(BD82=3,BC82,1)</f>
        <v>1</v>
      </c>
      <c r="DJ77" s="134">
        <f>IF(BF75=3,BE75,1)*IF(BF76=3,BE76,1)*IF(BF77=3,BE77,1)*IF(BF78=3,BE78,1)*IF(BF79=3,BE79,1)*IF(BF80=3,BE80,1)*IF(BF81=3,BE81,1)*IF(BF82=3,BE82,1)</f>
        <v>1</v>
      </c>
      <c r="DK77" s="134">
        <f>IF(BH75=3,BG75,1)*IF(BH76=3,BG76,1)*IF(BH77=3,BG77,1)*IF(BH78=3,BG78,1)*IF(BH79=3,BG79,1)*IF(BH80=3,BG80,1)*IF(BH81=3,BG81,1)*IF(BH82=3,BG82,1)</f>
        <v>1</v>
      </c>
      <c r="DL77" s="134">
        <f>IF(BJ75=3,BI75,1)*IF(BJ76=3,BI76,1)*IF(BJ77=3,BI77,1)*IF(BJ78=3,BI78,1)*IF(BJ79=3,BI79,1)*IF(BJ80=3,BI80,1)*IF(BJ81=3,BI81,1)*IF(BJ82=3,BI82,1)</f>
        <v>1</v>
      </c>
      <c r="DM77" s="134">
        <f>IF(BL75=3,BK75,1)*IF(BL76=3,BK76,1)*IF(BL77=3,BK77,1)*IF(BL78=3,BK78,1)*IF(BL79=3,BK79,1)*IF(BL80=3,BK80,1)*IF(BL81=3,BK81,1)*IF(BL82=3,BK82,1)</f>
        <v>1</v>
      </c>
      <c r="DN77" s="134">
        <f>IF(BN75=3,BM75,1)*IF(BN76=3,BM76,1)*IF(BN77=3,BM77,1)*IF(BN78=3,BM78,1)*IF(BN79=3,BM79,1)*IF(BN80=3,BM80,1)*IF(BN81=3,BM81,1)*IF(BN82=3,BM82,1)</f>
        <v>1</v>
      </c>
      <c r="DO77" s="134">
        <f>IF(BP75=3,BO75,1)*IF(BP76=3,BO76,1)*IF(BP77=3,BO77,1)*IF(BP78=3,BO78,1)*IF(BP79=3,BO79,1)*IF(BP80=3,BO80,1)*IF(BP81=3,BO81,1)*IF(BP82=3,BO82,1)</f>
        <v>1</v>
      </c>
      <c r="DP77" s="134">
        <f>IF(BR75=3,BQ75,1)*IF(BR76=3,BQ76,1)*IF(BR77=3,BQ77,1)*IF(BR78=3,BQ78,1)*IF(BR79=3,BQ79,1)*IF(BR80=3,BQ80,1)*IF(BR81=3,BQ81,1)*IF(BR82=3,BQ82,1)</f>
        <v>1</v>
      </c>
      <c r="DQ77" s="144">
        <f t="shared" ref="DQ77" si="114">PRODUCT(DA77:DP77)</f>
        <v>1</v>
      </c>
      <c r="DR77" s="134">
        <f>B77</f>
        <v>1</v>
      </c>
    </row>
    <row r="78" spans="2:122" x14ac:dyDescent="0.25">
      <c r="D78" s="134" t="str">
        <f>'Descripcion Actividades'!C16</f>
        <v>3 Se requiere experiencia pero es común encontrarla</v>
      </c>
      <c r="E78" s="134">
        <v>1</v>
      </c>
      <c r="F78" s="134" t="str">
        <f>'Descripcion Actividades'!C35</f>
        <v>2 Se requiere al menos de una acreditación específica para la ejecución del contrato.</v>
      </c>
      <c r="G78" s="134">
        <v>1</v>
      </c>
      <c r="H78" s="134" t="str">
        <f>'Descripcion Actividades'!C53</f>
        <v>1 Nada Relevante</v>
      </c>
      <c r="I78" s="134">
        <v>1</v>
      </c>
      <c r="J78" s="146" t="str">
        <f>'Descripcion Actividades'!C53</f>
        <v>1 Nada Relevante</v>
      </c>
      <c r="K78" s="146">
        <v>1</v>
      </c>
      <c r="L78" s="134" t="str">
        <f>'Descripcion Actividades'!C71</f>
        <v>1 Ninguno de los materiales e insumos requiere de permiso legal para acceder a ellos.</v>
      </c>
      <c r="M78" s="134">
        <v>1</v>
      </c>
      <c r="N78" s="134" t="str">
        <f>'Descripcion Actividades'!C112</f>
        <v>3 Los procesos, metodologías, procedimientos, instructivos son complejos</v>
      </c>
      <c r="O78" s="134">
        <v>1</v>
      </c>
      <c r="R78" s="134" t="str">
        <f>'Descripcion Actividades'!C125</f>
        <v>2 El lugar para la ejecución del contrato es de fácil acceso y pero los tiempos para acceder pueden variar.</v>
      </c>
      <c r="S78" s="134">
        <v>1</v>
      </c>
      <c r="T78" s="134" t="str">
        <f>'Descripcion Actividades'!C133</f>
        <v>1 Se contempla un único frente de obra.</v>
      </c>
      <c r="U78" s="134">
        <v>1</v>
      </c>
      <c r="AM78" s="134" t="str">
        <f t="shared" si="21"/>
        <v>3</v>
      </c>
      <c r="AN78" s="134">
        <f t="shared" si="110"/>
        <v>1</v>
      </c>
      <c r="AO78" s="134" t="str">
        <f t="shared" si="22"/>
        <v>2</v>
      </c>
      <c r="AP78" s="134">
        <f t="shared" si="111"/>
        <v>1</v>
      </c>
      <c r="AQ78" s="145" t="str">
        <f>MID(H78,1,1)</f>
        <v>1</v>
      </c>
      <c r="AR78" s="134">
        <f t="shared" si="98"/>
        <v>1</v>
      </c>
      <c r="AS78" s="146" t="str">
        <f>MID(J78,1,1)</f>
        <v>1</v>
      </c>
      <c r="AT78" s="134">
        <f t="shared" si="99"/>
        <v>1</v>
      </c>
      <c r="AU78" s="134" t="str">
        <f>MID(L78,1,1)</f>
        <v>1</v>
      </c>
      <c r="AV78" s="134">
        <f t="shared" si="100"/>
        <v>1</v>
      </c>
      <c r="AW78" s="134" t="str">
        <f>MID(N78,1,1)</f>
        <v>3</v>
      </c>
      <c r="AX78" s="134">
        <f t="shared" si="93"/>
        <v>1</v>
      </c>
      <c r="AZ78" s="134">
        <f t="shared" si="101"/>
        <v>0</v>
      </c>
      <c r="BA78" s="134" t="str">
        <f>MID(R78,1,1)</f>
        <v>2</v>
      </c>
      <c r="BB78" s="134">
        <f t="shared" si="102"/>
        <v>1</v>
      </c>
      <c r="BC78" s="134" t="str">
        <f t="shared" si="112"/>
        <v>1</v>
      </c>
      <c r="BD78" s="134">
        <f t="shared" si="103"/>
        <v>1</v>
      </c>
      <c r="BF78" s="134">
        <f t="shared" si="94"/>
        <v>0</v>
      </c>
      <c r="BH78" s="134">
        <f t="shared" si="104"/>
        <v>0</v>
      </c>
      <c r="BJ78" s="134">
        <f t="shared" si="105"/>
        <v>0</v>
      </c>
      <c r="BL78" s="134">
        <f t="shared" si="106"/>
        <v>0</v>
      </c>
      <c r="BN78" s="134">
        <f t="shared" si="95"/>
        <v>0</v>
      </c>
      <c r="BP78" s="134">
        <f t="shared" si="107"/>
        <v>0</v>
      </c>
      <c r="BR78" s="134">
        <f t="shared" si="108"/>
        <v>0</v>
      </c>
      <c r="BT78" s="134">
        <f t="shared" si="109"/>
        <v>0</v>
      </c>
      <c r="BV78" s="134">
        <f t="shared" si="14"/>
        <v>3</v>
      </c>
      <c r="BW78" s="134">
        <f>VALUE(AO78)</f>
        <v>2</v>
      </c>
      <c r="BX78" s="145">
        <f>VALUE(AQ78)</f>
        <v>1</v>
      </c>
      <c r="BY78" s="146">
        <f t="shared" si="42"/>
        <v>1</v>
      </c>
      <c r="BZ78" s="134">
        <f>VALUE(AU78)</f>
        <v>1</v>
      </c>
      <c r="CA78" s="134">
        <f>VALUE(AW78)</f>
        <v>3</v>
      </c>
      <c r="CC78" s="134">
        <f>VALUE(BA78)</f>
        <v>2</v>
      </c>
      <c r="CD78" s="134">
        <f t="shared" si="113"/>
        <v>1</v>
      </c>
      <c r="CL78" s="142"/>
      <c r="CX78" s="144"/>
      <c r="CY78" s="144"/>
      <c r="CZ78" s="144"/>
      <c r="DQ78" s="144"/>
    </row>
    <row r="79" spans="2:122" x14ac:dyDescent="0.25">
      <c r="D79" s="134" t="str">
        <f>'Descripcion Actividades'!C18</f>
        <v>1 El proceso es de común conocimiento no tiene restricciones de uso.</v>
      </c>
      <c r="E79" s="134">
        <v>1</v>
      </c>
      <c r="L79" s="134" t="str">
        <f>'Descripcion Actividades'!C73</f>
        <v>1 Los materiales e insumos son todos de origen nacional.</v>
      </c>
      <c r="M79" s="134">
        <v>1</v>
      </c>
      <c r="N79" s="134" t="str">
        <f>'Descripcion Actividades'!C114</f>
        <v>3 Las actividades a realizar requieren de un nivel de direccionamiento y control elaborado. El personal puede actuar con limitado grado de autonomía.</v>
      </c>
      <c r="O79" s="134">
        <v>1</v>
      </c>
      <c r="R79" s="134" t="str">
        <f>'Descripcion Actividades'!C127</f>
        <v>3 La ejecución del contrato se hace en lugares dispersos en un mismo departamento.</v>
      </c>
      <c r="S79" s="134">
        <v>1</v>
      </c>
      <c r="T79" s="134" t="str">
        <f>'Descripcion Actividades'!C135</f>
        <v>2 El lugar para la ejecución del contrato es de fácil acceso y pero los tiempos para acceder pueden variar.</v>
      </c>
      <c r="U79" s="134">
        <v>1</v>
      </c>
      <c r="AM79" s="134" t="str">
        <f t="shared" si="21"/>
        <v>1</v>
      </c>
      <c r="AN79" s="134">
        <f t="shared" si="110"/>
        <v>1</v>
      </c>
      <c r="AP79" s="134">
        <f t="shared" si="111"/>
        <v>0</v>
      </c>
      <c r="AR79" s="134">
        <f t="shared" si="98"/>
        <v>0</v>
      </c>
      <c r="AT79" s="134">
        <f t="shared" si="99"/>
        <v>0</v>
      </c>
      <c r="AU79" s="134" t="str">
        <f>MID(L79,1,1)</f>
        <v>1</v>
      </c>
      <c r="AV79" s="134">
        <f t="shared" si="100"/>
        <v>1</v>
      </c>
      <c r="AW79" s="134" t="str">
        <f>MID(N79,1,1)</f>
        <v>3</v>
      </c>
      <c r="AX79" s="134">
        <f t="shared" si="93"/>
        <v>1</v>
      </c>
      <c r="AZ79" s="134">
        <f t="shared" si="101"/>
        <v>0</v>
      </c>
      <c r="BA79" s="134" t="str">
        <f>MID(R79,1,1)</f>
        <v>3</v>
      </c>
      <c r="BB79" s="134">
        <f t="shared" si="102"/>
        <v>1</v>
      </c>
      <c r="BC79" s="134" t="str">
        <f t="shared" si="112"/>
        <v>2</v>
      </c>
      <c r="BD79" s="134">
        <f t="shared" si="103"/>
        <v>1</v>
      </c>
      <c r="BF79" s="134">
        <f t="shared" si="94"/>
        <v>0</v>
      </c>
      <c r="BH79" s="134">
        <f t="shared" si="104"/>
        <v>0</v>
      </c>
      <c r="BJ79" s="134">
        <f t="shared" si="105"/>
        <v>0</v>
      </c>
      <c r="BL79" s="134">
        <f t="shared" si="106"/>
        <v>0</v>
      </c>
      <c r="BN79" s="134">
        <f t="shared" si="95"/>
        <v>0</v>
      </c>
      <c r="BP79" s="134">
        <f t="shared" si="107"/>
        <v>0</v>
      </c>
      <c r="BR79" s="134">
        <f t="shared" si="108"/>
        <v>0</v>
      </c>
      <c r="BT79" s="134">
        <f t="shared" si="109"/>
        <v>0</v>
      </c>
      <c r="BV79" s="134">
        <f t="shared" si="14"/>
        <v>1</v>
      </c>
      <c r="BZ79" s="134">
        <f>VALUE(AU79)</f>
        <v>1</v>
      </c>
      <c r="CA79" s="134">
        <f>VALUE(AW79)</f>
        <v>3</v>
      </c>
      <c r="CC79" s="134">
        <f>VALUE(BA79)</f>
        <v>3</v>
      </c>
      <c r="CD79" s="134">
        <f t="shared" si="113"/>
        <v>2</v>
      </c>
      <c r="CL79" s="142"/>
      <c r="CX79" s="144"/>
      <c r="CY79" s="144"/>
      <c r="CZ79" s="144"/>
      <c r="DQ79" s="144"/>
    </row>
    <row r="80" spans="2:122" x14ac:dyDescent="0.25">
      <c r="D80" s="134" t="str">
        <f>'Descripcion Actividades'!C20</f>
        <v>2 Las actividades están regidas y deben cumplir normas técnicas estictamente.</v>
      </c>
      <c r="E80" s="134">
        <v>1</v>
      </c>
      <c r="L80" s="134" t="str">
        <f>'Descripcion Actividades'!C75</f>
        <v>1 No se contemplan materiales e insumos perecederos para la ejecución del contrato.</v>
      </c>
      <c r="M80" s="134">
        <v>1</v>
      </c>
      <c r="T80" s="134" t="str">
        <f>'Descripcion Actividades'!C137</f>
        <v>1 La obra contempla actividades a nivel de piso.</v>
      </c>
      <c r="U80" s="134">
        <v>1</v>
      </c>
      <c r="AM80" s="134" t="str">
        <f t="shared" si="21"/>
        <v>2</v>
      </c>
      <c r="AN80" s="134">
        <f t="shared" si="110"/>
        <v>1</v>
      </c>
      <c r="AP80" s="134">
        <f t="shared" si="111"/>
        <v>0</v>
      </c>
      <c r="AR80" s="134">
        <f t="shared" si="98"/>
        <v>0</v>
      </c>
      <c r="AT80" s="134">
        <f t="shared" si="99"/>
        <v>0</v>
      </c>
      <c r="AU80" s="134" t="str">
        <f>MID(L80,1,1)</f>
        <v>1</v>
      </c>
      <c r="AV80" s="134">
        <f t="shared" si="100"/>
        <v>1</v>
      </c>
      <c r="AX80" s="134">
        <f t="shared" si="93"/>
        <v>0</v>
      </c>
      <c r="AZ80" s="134">
        <f t="shared" si="101"/>
        <v>0</v>
      </c>
      <c r="BB80" s="134">
        <f t="shared" si="102"/>
        <v>0</v>
      </c>
      <c r="BC80" s="134" t="str">
        <f t="shared" si="112"/>
        <v>1</v>
      </c>
      <c r="BD80" s="134">
        <f t="shared" si="103"/>
        <v>1</v>
      </c>
      <c r="BF80" s="134">
        <f t="shared" si="94"/>
        <v>0</v>
      </c>
      <c r="BH80" s="134">
        <f t="shared" si="104"/>
        <v>0</v>
      </c>
      <c r="BJ80" s="134">
        <f t="shared" si="105"/>
        <v>0</v>
      </c>
      <c r="BL80" s="134">
        <f t="shared" si="106"/>
        <v>0</v>
      </c>
      <c r="BN80" s="134">
        <f t="shared" si="95"/>
        <v>0</v>
      </c>
      <c r="BP80" s="134">
        <f t="shared" si="107"/>
        <v>0</v>
      </c>
      <c r="BR80" s="134">
        <f t="shared" si="108"/>
        <v>0</v>
      </c>
      <c r="BT80" s="134">
        <f t="shared" si="109"/>
        <v>0</v>
      </c>
      <c r="BV80" s="134">
        <f t="shared" si="14"/>
        <v>2</v>
      </c>
      <c r="BZ80" s="134">
        <f>VALUE(AU80)</f>
        <v>1</v>
      </c>
      <c r="CD80" s="134">
        <f t="shared" si="113"/>
        <v>1</v>
      </c>
      <c r="CL80" s="142"/>
      <c r="CX80" s="144"/>
      <c r="CY80" s="144"/>
      <c r="CZ80" s="144"/>
      <c r="DQ80" s="144"/>
    </row>
    <row r="81" spans="2:122" x14ac:dyDescent="0.25">
      <c r="D81" s="134" t="str">
        <f>'Descripcion Actividades'!C22</f>
        <v>2 Se requieren permisos y licencias para la realización de las actividades por parte de autoridad competente que regula la actividad.</v>
      </c>
      <c r="E81" s="134">
        <v>1</v>
      </c>
      <c r="T81" s="134" t="str">
        <f>'Descripcion Actividades'!C139</f>
        <v>1 La obra no contempla  actividades de excavación, cimentación o instalación de estructuras elevadas o de elementos de gran tamaño y elevado peso.</v>
      </c>
      <c r="U81" s="134">
        <v>1</v>
      </c>
      <c r="AM81" s="134" t="str">
        <f t="shared" si="21"/>
        <v>2</v>
      </c>
      <c r="AN81" s="134">
        <f t="shared" si="110"/>
        <v>1</v>
      </c>
      <c r="AP81" s="134">
        <f t="shared" si="111"/>
        <v>0</v>
      </c>
      <c r="AR81" s="134">
        <f t="shared" si="98"/>
        <v>0</v>
      </c>
      <c r="AT81" s="134">
        <f t="shared" si="99"/>
        <v>0</v>
      </c>
      <c r="AV81" s="134">
        <f t="shared" si="100"/>
        <v>0</v>
      </c>
      <c r="AX81" s="134">
        <f t="shared" si="93"/>
        <v>0</v>
      </c>
      <c r="AZ81" s="134">
        <f t="shared" si="101"/>
        <v>0</v>
      </c>
      <c r="BB81" s="134">
        <f t="shared" si="102"/>
        <v>0</v>
      </c>
      <c r="BC81" s="134" t="str">
        <f t="shared" si="112"/>
        <v>1</v>
      </c>
      <c r="BD81" s="134">
        <f t="shared" si="103"/>
        <v>1</v>
      </c>
      <c r="BF81" s="134">
        <f t="shared" si="94"/>
        <v>0</v>
      </c>
      <c r="BH81" s="134">
        <f t="shared" si="104"/>
        <v>0</v>
      </c>
      <c r="BJ81" s="134">
        <f t="shared" si="105"/>
        <v>0</v>
      </c>
      <c r="BL81" s="134">
        <f t="shared" si="106"/>
        <v>0</v>
      </c>
      <c r="BN81" s="134">
        <f t="shared" si="95"/>
        <v>0</v>
      </c>
      <c r="BP81" s="134">
        <f t="shared" si="107"/>
        <v>0</v>
      </c>
      <c r="BR81" s="134">
        <f t="shared" si="108"/>
        <v>0</v>
      </c>
      <c r="BT81" s="134">
        <f t="shared" si="109"/>
        <v>0</v>
      </c>
      <c r="BV81" s="134">
        <f t="shared" si="14"/>
        <v>2</v>
      </c>
      <c r="CD81" s="134">
        <f t="shared" si="113"/>
        <v>1</v>
      </c>
      <c r="CL81" s="142"/>
      <c r="CX81" s="144"/>
      <c r="CY81" s="144"/>
      <c r="CZ81" s="144"/>
      <c r="DQ81" s="144"/>
    </row>
    <row r="82" spans="2:122" x14ac:dyDescent="0.25">
      <c r="T82" s="134" t="str">
        <f>'Descripcion Actividades'!C141</f>
        <v>1 La obra no contempla actividades bajo el agua.</v>
      </c>
      <c r="U82" s="134">
        <v>1</v>
      </c>
      <c r="AN82" s="134">
        <f t="shared" si="110"/>
        <v>0</v>
      </c>
      <c r="AP82" s="134">
        <f t="shared" si="111"/>
        <v>0</v>
      </c>
      <c r="AR82" s="134">
        <f t="shared" si="98"/>
        <v>0</v>
      </c>
      <c r="AT82" s="134">
        <f t="shared" si="99"/>
        <v>0</v>
      </c>
      <c r="AV82" s="134">
        <f t="shared" si="100"/>
        <v>0</v>
      </c>
      <c r="AX82" s="134">
        <f t="shared" si="93"/>
        <v>0</v>
      </c>
      <c r="AZ82" s="134">
        <f t="shared" si="101"/>
        <v>0</v>
      </c>
      <c r="BB82" s="134">
        <f t="shared" si="102"/>
        <v>0</v>
      </c>
      <c r="BC82" s="134" t="str">
        <f t="shared" si="112"/>
        <v>1</v>
      </c>
      <c r="BD82" s="134">
        <f t="shared" si="103"/>
        <v>1</v>
      </c>
      <c r="BF82" s="134">
        <f t="shared" si="94"/>
        <v>0</v>
      </c>
      <c r="BH82" s="134">
        <f t="shared" si="104"/>
        <v>0</v>
      </c>
      <c r="BJ82" s="134">
        <f t="shared" si="105"/>
        <v>0</v>
      </c>
      <c r="BL82" s="134">
        <f t="shared" si="106"/>
        <v>0</v>
      </c>
      <c r="BN82" s="134">
        <f t="shared" si="95"/>
        <v>0</v>
      </c>
      <c r="BP82" s="134">
        <f t="shared" si="107"/>
        <v>0</v>
      </c>
      <c r="BR82" s="134">
        <f t="shared" si="108"/>
        <v>0</v>
      </c>
      <c r="BT82" s="134">
        <f t="shared" si="109"/>
        <v>0</v>
      </c>
      <c r="CD82" s="134">
        <f t="shared" si="113"/>
        <v>1</v>
      </c>
      <c r="CL82" s="142"/>
      <c r="CX82" s="144"/>
      <c r="CY82" s="144"/>
      <c r="CZ82" s="144"/>
      <c r="DQ82" s="144"/>
    </row>
    <row r="83" spans="2:122" s="144" customFormat="1" x14ac:dyDescent="0.25">
      <c r="C83" s="147"/>
      <c r="AN83" s="134">
        <f t="shared" si="110"/>
        <v>0</v>
      </c>
      <c r="AP83" s="134">
        <f t="shared" si="111"/>
        <v>0</v>
      </c>
      <c r="AR83" s="134">
        <f t="shared" si="98"/>
        <v>0</v>
      </c>
      <c r="AT83" s="134">
        <f t="shared" si="99"/>
        <v>0</v>
      </c>
      <c r="AV83" s="134">
        <f t="shared" si="100"/>
        <v>0</v>
      </c>
      <c r="AX83" s="134">
        <f t="shared" si="93"/>
        <v>0</v>
      </c>
      <c r="AZ83" s="134">
        <f t="shared" si="101"/>
        <v>0</v>
      </c>
      <c r="BB83" s="134">
        <f t="shared" si="102"/>
        <v>0</v>
      </c>
      <c r="BD83" s="134">
        <f t="shared" si="103"/>
        <v>0</v>
      </c>
      <c r="BF83" s="134">
        <f t="shared" si="94"/>
        <v>0</v>
      </c>
      <c r="BH83" s="134">
        <f t="shared" si="104"/>
        <v>0</v>
      </c>
      <c r="BJ83" s="134">
        <f t="shared" si="105"/>
        <v>0</v>
      </c>
      <c r="BL83" s="134">
        <f t="shared" si="106"/>
        <v>0</v>
      </c>
      <c r="BN83" s="134">
        <f t="shared" si="95"/>
        <v>0</v>
      </c>
      <c r="BP83" s="134">
        <f t="shared" si="107"/>
        <v>0</v>
      </c>
      <c r="BR83" s="134">
        <f t="shared" si="108"/>
        <v>0</v>
      </c>
      <c r="BT83" s="134">
        <f t="shared" si="109"/>
        <v>0</v>
      </c>
      <c r="BV83" s="144">
        <f>BV77*BV78*BV79*BV80*BV81</f>
        <v>36</v>
      </c>
      <c r="BW83" s="144">
        <f>BW77*BW78</f>
        <v>2</v>
      </c>
      <c r="BX83" s="144">
        <f>BX77*BX78</f>
        <v>1</v>
      </c>
      <c r="BY83" s="144">
        <f>BY77*BY78</f>
        <v>1</v>
      </c>
      <c r="BZ83" s="144">
        <f>BZ77*BZ78*BZ79*BZ80</f>
        <v>1</v>
      </c>
      <c r="CA83" s="144">
        <f>CA77*CA78*CA79</f>
        <v>27</v>
      </c>
      <c r="CB83" s="144">
        <f>CB77</f>
        <v>2</v>
      </c>
      <c r="CC83" s="144">
        <f>CC77*CC78*CC79</f>
        <v>24</v>
      </c>
      <c r="CD83" s="144">
        <f>CD77*CD78*CD79*CD80*CD81*CD82</f>
        <v>2</v>
      </c>
      <c r="CL83" s="148">
        <f>PRODUCT(BV83:CK83)</f>
        <v>186624</v>
      </c>
      <c r="CX83" s="144" t="str">
        <f>IF(CL83&lt;CO19,'cap.7 - analisis riesgos'!$B$15,IF('Eval Factores de Riesgo'!CL83&lt;'Eval Factores de Riesgo'!CP19,'cap.7 - analisis riesgos'!$B$16,IF('Eval Factores de Riesgo'!CL83&lt;'Eval Factores de Riesgo'!CQ19,'cap.7 - analisis riesgos'!$B$17,IF('Eval Factores de Riesgo'!CL83&lt;'Eval Factores de Riesgo'!CS19,'cap.7 - analisis riesgos'!$B$18,'cap.7 - analisis riesgos'!$B$19))))</f>
        <v>Posible</v>
      </c>
      <c r="CY83" s="144">
        <f>IF(CL83&lt;CP19,'cap.7 - analisis riesgos'!$G$15,IF('Eval Factores de Riesgo'!CL83&lt;'Eval Factores de Riesgo'!CQ19,'cap.7 - analisis riesgos'!$G$16,IF('Eval Factores de Riesgo'!CL83&lt;'Eval Factores de Riesgo'!CS19,'cap.7 - analisis riesgos'!$G$17,IF('Eval Factores de Riesgo'!CL83&lt;'Eval Factores de Riesgo'!CT19,'cap.7 - analisis riesgos'!$G$18,'cap.7 - analisis riesgos'!$G$19))))</f>
        <v>2</v>
      </c>
      <c r="CZ83" s="144">
        <f>MAX(DA83:DP83)</f>
        <v>1</v>
      </c>
      <c r="DA83" s="144">
        <f>DA77</f>
        <v>1</v>
      </c>
      <c r="DB83" s="144">
        <f t="shared" ref="DB83:DP83" si="115">DB77</f>
        <v>1</v>
      </c>
      <c r="DC83" s="144">
        <f t="shared" si="115"/>
        <v>1</v>
      </c>
      <c r="DD83" s="144">
        <f t="shared" si="115"/>
        <v>1</v>
      </c>
      <c r="DE83" s="144">
        <f t="shared" si="115"/>
        <v>1</v>
      </c>
      <c r="DF83" s="144">
        <f t="shared" si="115"/>
        <v>1</v>
      </c>
      <c r="DG83" s="144">
        <f t="shared" si="115"/>
        <v>1</v>
      </c>
      <c r="DH83" s="144">
        <f t="shared" si="115"/>
        <v>1</v>
      </c>
      <c r="DI83" s="144">
        <f t="shared" si="115"/>
        <v>1</v>
      </c>
      <c r="DJ83" s="144">
        <f t="shared" si="115"/>
        <v>1</v>
      </c>
      <c r="DK83" s="144">
        <f t="shared" si="115"/>
        <v>1</v>
      </c>
      <c r="DL83" s="144">
        <f t="shared" si="115"/>
        <v>1</v>
      </c>
      <c r="DM83" s="144">
        <f t="shared" si="115"/>
        <v>1</v>
      </c>
      <c r="DN83" s="144">
        <f t="shared" si="115"/>
        <v>1</v>
      </c>
      <c r="DO83" s="144">
        <f t="shared" si="115"/>
        <v>1</v>
      </c>
      <c r="DP83" s="144">
        <f t="shared" si="115"/>
        <v>1</v>
      </c>
    </row>
    <row r="84" spans="2:122" s="144" customFormat="1" x14ac:dyDescent="0.25">
      <c r="C84" s="147"/>
      <c r="AN84" s="134"/>
      <c r="AP84" s="134"/>
      <c r="AR84" s="134"/>
      <c r="AT84" s="134"/>
      <c r="AV84" s="134"/>
      <c r="AX84" s="134"/>
      <c r="AZ84" s="134"/>
      <c r="BB84" s="134"/>
      <c r="BD84" s="134"/>
      <c r="BF84" s="134"/>
      <c r="BH84" s="134"/>
      <c r="BJ84" s="134"/>
      <c r="BL84" s="134"/>
      <c r="BN84" s="134"/>
      <c r="BP84" s="134"/>
      <c r="BR84" s="134"/>
      <c r="BT84" s="134"/>
      <c r="CL84" s="150"/>
      <c r="DA84" s="144">
        <f>$CZ$83-DA83</f>
        <v>0</v>
      </c>
      <c r="DB84" s="144">
        <f t="shared" ref="DB84:DP84" si="116">$CZ$83-DB83</f>
        <v>0</v>
      </c>
      <c r="DC84" s="144">
        <f t="shared" si="116"/>
        <v>0</v>
      </c>
      <c r="DD84" s="144">
        <f t="shared" si="116"/>
        <v>0</v>
      </c>
      <c r="DE84" s="144">
        <f t="shared" si="116"/>
        <v>0</v>
      </c>
      <c r="DF84" s="144">
        <f t="shared" si="116"/>
        <v>0</v>
      </c>
      <c r="DG84" s="144">
        <f t="shared" si="116"/>
        <v>0</v>
      </c>
      <c r="DH84" s="144">
        <f t="shared" si="116"/>
        <v>0</v>
      </c>
      <c r="DI84" s="144">
        <f t="shared" si="116"/>
        <v>0</v>
      </c>
      <c r="DJ84" s="144">
        <f t="shared" si="116"/>
        <v>0</v>
      </c>
      <c r="DK84" s="144">
        <f t="shared" si="116"/>
        <v>0</v>
      </c>
      <c r="DL84" s="144">
        <f t="shared" si="116"/>
        <v>0</v>
      </c>
      <c r="DM84" s="144">
        <f t="shared" si="116"/>
        <v>0</v>
      </c>
      <c r="DN84" s="144">
        <f t="shared" si="116"/>
        <v>0</v>
      </c>
      <c r="DO84" s="144">
        <f t="shared" si="116"/>
        <v>0</v>
      </c>
      <c r="DP84" s="144">
        <f t="shared" si="116"/>
        <v>0</v>
      </c>
      <c r="DR84" s="144">
        <f>IF(DA84=0,DA76,IF(DB84=0,DB76,IF(DC84=0,DC76,IF(DD84=0,DD76,IF(DE84=0,DE76,IF(DF84=0,DF76,IF(DG84=0,DG76,IF(DH84=0,DH76,IF(DI84=0,DI76,IF(DJ84=0,DJ76,IF(DK84=0,DK76,IF(DL84=0,DL76,IF(DM84=0,DM76,IF(DN84=0,DN76,IF(DO84=0,DO76,DP76)))))))))))))))</f>
        <v>6</v>
      </c>
    </row>
    <row r="85" spans="2:122" x14ac:dyDescent="0.25">
      <c r="C85" s="155" t="s">
        <v>31</v>
      </c>
      <c r="D85" s="137" t="s">
        <v>579</v>
      </c>
      <c r="F85" s="137" t="s">
        <v>583</v>
      </c>
      <c r="AN85" s="134">
        <f t="shared" si="110"/>
        <v>0</v>
      </c>
      <c r="AP85" s="134">
        <f t="shared" si="111"/>
        <v>0</v>
      </c>
      <c r="AR85" s="134">
        <f t="shared" si="98"/>
        <v>0</v>
      </c>
      <c r="AT85" s="134">
        <f t="shared" si="99"/>
        <v>0</v>
      </c>
      <c r="AV85" s="134">
        <f t="shared" si="100"/>
        <v>0</v>
      </c>
      <c r="AX85" s="134">
        <f t="shared" si="93"/>
        <v>0</v>
      </c>
      <c r="AZ85" s="134">
        <f t="shared" si="101"/>
        <v>0</v>
      </c>
      <c r="BB85" s="134">
        <f t="shared" si="102"/>
        <v>0</v>
      </c>
      <c r="BD85" s="134">
        <f t="shared" si="103"/>
        <v>0</v>
      </c>
      <c r="BF85" s="134">
        <f t="shared" si="94"/>
        <v>0</v>
      </c>
      <c r="BH85" s="134">
        <f t="shared" si="104"/>
        <v>0</v>
      </c>
      <c r="BJ85" s="134">
        <f t="shared" si="105"/>
        <v>0</v>
      </c>
      <c r="BL85" s="134">
        <f t="shared" si="106"/>
        <v>0</v>
      </c>
      <c r="BN85" s="134">
        <f t="shared" si="95"/>
        <v>0</v>
      </c>
      <c r="BP85" s="134">
        <f t="shared" si="107"/>
        <v>0</v>
      </c>
      <c r="BR85" s="134">
        <f t="shared" si="108"/>
        <v>0</v>
      </c>
      <c r="BT85" s="134">
        <f t="shared" si="109"/>
        <v>0</v>
      </c>
      <c r="CL85" s="138" t="s">
        <v>325</v>
      </c>
      <c r="CX85" s="144"/>
      <c r="CY85" s="144"/>
      <c r="CZ85" s="144"/>
      <c r="DA85" s="143">
        <f>IFERROR(VALUE(MID(D85,1,2)),"")</f>
        <v>11</v>
      </c>
      <c r="DB85" s="143">
        <f>IFERROR(VALUE(MID(F85,1,2)),"")</f>
        <v>14</v>
      </c>
      <c r="DC85" s="143" t="str">
        <f>IFERROR(VALUE(MID(H85,1,2)),"")</f>
        <v/>
      </c>
      <c r="DD85" s="143" t="str">
        <f>IFERROR(VALUE(MID(J85,1,2)),"")</f>
        <v/>
      </c>
      <c r="DE85" s="143" t="str">
        <f>IFERROR(VALUE(MID(L85,1,2)),"")</f>
        <v/>
      </c>
      <c r="DF85" s="143" t="str">
        <f>IFERROR(VALUE(MID(N85,1,2)),"")</f>
        <v/>
      </c>
      <c r="DG85" s="143" t="str">
        <f>IFERROR(VALUE(MID(P85,1,2)),"")</f>
        <v/>
      </c>
      <c r="DH85" s="143" t="str">
        <f>IFERROR(VALUE(MID(R85,1,2)),"")</f>
        <v/>
      </c>
      <c r="DI85" s="143" t="str">
        <f>IFERROR(VALUE(MID(T85,1,2)),"")</f>
        <v/>
      </c>
      <c r="DJ85" s="143" t="str">
        <f>IFERROR(VALUE(MID(V85,1,2)),"")</f>
        <v/>
      </c>
      <c r="DK85" s="143" t="str">
        <f>IFERROR(VALUE(MID(X85,1,2)),"")</f>
        <v/>
      </c>
      <c r="DL85" s="143" t="str">
        <f>IFERROR(VALUE(MID(Z85,1,2)),"")</f>
        <v/>
      </c>
      <c r="DM85" s="143" t="str">
        <f>IFERROR(VALUE(MID(AB85,1,2)),"")</f>
        <v/>
      </c>
      <c r="DN85" s="143" t="str">
        <f>IFERROR(VALUE(MID(AD85,1,2)),"")</f>
        <v/>
      </c>
      <c r="DO85" s="143" t="str">
        <f>IFERROR(VALUE(MID(AF85,1,2)),"")</f>
        <v/>
      </c>
      <c r="DP85" s="143" t="str">
        <f>IFERROR(VALUE(MID(AH85,1,2)),"")</f>
        <v/>
      </c>
      <c r="DQ85" s="144"/>
    </row>
    <row r="86" spans="2:122" ht="45" x14ac:dyDescent="0.25">
      <c r="B86" s="134">
        <v>1</v>
      </c>
      <c r="C86" s="135" t="s">
        <v>292</v>
      </c>
      <c r="D86" s="134" t="str">
        <f>'Descripcion Actividades'!C63</f>
        <v>1 Todos los materiales e insumos requeridos son de amplia disponibilidad y accesibilidad.</v>
      </c>
      <c r="E86" s="134">
        <v>1</v>
      </c>
      <c r="F86" s="134" t="str">
        <f>'Descripcion Actividades'!C118</f>
        <v>2 Las máquinas, equipos y vehículos son de uso común y su disponibilidad es amplia.</v>
      </c>
      <c r="G86" s="134">
        <v>1</v>
      </c>
      <c r="AM86" s="134" t="str">
        <f t="shared" ref="AM86:AM90" si="117">MID(D86,1,1)</f>
        <v>1</v>
      </c>
      <c r="AN86" s="134">
        <f t="shared" si="110"/>
        <v>1</v>
      </c>
      <c r="AO86" s="134" t="str">
        <f t="shared" ref="AO86" si="118">MID(F86,1,1)</f>
        <v>2</v>
      </c>
      <c r="AP86" s="134">
        <f t="shared" si="111"/>
        <v>1</v>
      </c>
      <c r="AR86" s="134">
        <f t="shared" si="98"/>
        <v>0</v>
      </c>
      <c r="AT86" s="134">
        <f t="shared" si="99"/>
        <v>0</v>
      </c>
      <c r="AV86" s="134">
        <f t="shared" si="100"/>
        <v>0</v>
      </c>
      <c r="AX86" s="134">
        <f t="shared" si="93"/>
        <v>0</v>
      </c>
      <c r="AZ86" s="134">
        <f t="shared" si="101"/>
        <v>0</v>
      </c>
      <c r="BB86" s="134">
        <f t="shared" si="102"/>
        <v>0</v>
      </c>
      <c r="BD86" s="134">
        <f t="shared" si="103"/>
        <v>0</v>
      </c>
      <c r="BF86" s="134">
        <f t="shared" si="94"/>
        <v>0</v>
      </c>
      <c r="BH86" s="134">
        <f t="shared" si="104"/>
        <v>0</v>
      </c>
      <c r="BJ86" s="134">
        <f t="shared" si="105"/>
        <v>0</v>
      </c>
      <c r="BL86" s="134">
        <f t="shared" si="106"/>
        <v>0</v>
      </c>
      <c r="BN86" s="134">
        <f t="shared" si="95"/>
        <v>0</v>
      </c>
      <c r="BP86" s="134">
        <f t="shared" si="107"/>
        <v>0</v>
      </c>
      <c r="BR86" s="134">
        <f t="shared" si="108"/>
        <v>0</v>
      </c>
      <c r="BT86" s="134">
        <f t="shared" si="109"/>
        <v>0</v>
      </c>
      <c r="BV86" s="134">
        <f t="shared" ref="BV86:BV90" si="119">VALUE(AM86)</f>
        <v>1</v>
      </c>
      <c r="BW86" s="134">
        <f t="shared" ref="BW86" si="120">VALUE(AO86)</f>
        <v>2</v>
      </c>
      <c r="CL86" s="142"/>
      <c r="CX86" s="144"/>
      <c r="CY86" s="144"/>
      <c r="CZ86" s="144"/>
      <c r="DA86" s="134">
        <f>IF(BV86=3,AM86,1)*IF(BV87=3,AM87,1)*IF(BV88=3,AM88,1)*IF(BV89=3,AM89,1)*IF(BV90=3,AM90,1)</f>
        <v>1</v>
      </c>
      <c r="DB86" s="134">
        <f>IF(BW86=3,AO86,1)*IF(BW87=3,AO87,1)*IF(BW88=3,AO88,1)*IF(BW89=3,AO89,1)*IF(BW90=3,AO90,1)</f>
        <v>1</v>
      </c>
      <c r="DC86" s="134">
        <f>IF(BX84=3,AQ84,1)*IF(BX85=3,AQ85,1)*IF(BX86=3,AQ86,1)*IF(BX87=3,AQ87,1)*IF(BX88=3,AQ88,1)*IF(BX89=3,AQ89,1)*IF(BX90=3,AQ90,1)*IF(BX91=3,AQ91,1)</f>
        <v>1</v>
      </c>
      <c r="DD86" s="134">
        <f>IF(BY84=3,AS84,1)*IF(BY85=3,AS85,1)*IF(BY86=3,AS86,1)*IF(BY87=3,AS87,1)*IF(BY88=3,AS88,1)*IF(BY89=3,AS89,1)*IF(BY90=3,AS90,1)*IF(BY91=3,AS91,1)</f>
        <v>1</v>
      </c>
      <c r="DE86" s="134">
        <f>IF(BZ84=3,AU84,1)*IF(BZ85=3,AU85,1)*IF(BZ86=3,AU86,1)*IF(BZ87=3,AU87,1)*IF(BZ88=3,AU88,1)*IF(BZ89=3,AU89,1)*IF(BZ90=3,AU90,1)*IF(BZ91=3,AU91,1)</f>
        <v>1</v>
      </c>
      <c r="DF86" s="134">
        <f>IF(CA84=3,AW84,1)*IF(CA85=3,AW85,1)*IF(CA86=3,AW86,1)*IF(CA87=3,AW87,1)*IF(CA88=3,AW88,1)*IF(CA89=3,AW89,1)*IF(CA90=3,AW90,1)*IF(BZ91=3,AW91,1)</f>
        <v>1</v>
      </c>
      <c r="DG86" s="134">
        <f>IF(CB84=3,AY84,1)*IF(CB85=3,AY85,1)*IF(CB86=3,AY86,1)*IF(CB87=3,AY87,1)*IF(CB88=3,AY88,1)*IF(CB89=3,AY89,1)*IF(CB90=3,AY90,1)*IF(CB91=3,AY91,1)</f>
        <v>1</v>
      </c>
      <c r="DH86" s="134">
        <f>IF(CC84=3,BA84,1)*IF(CC85=3,BA85,1)*IF(CC86=3,BA86,1)*IF(CC87=3,BA87,1)*IF(CC88=3,BA88,1)*IF(CC89=3,BA89,1)*IF(CC90=3,BA90,1)*IF(CC91=3,BA91,1)</f>
        <v>1</v>
      </c>
      <c r="DI86" s="134">
        <f>IF(CD84=3,BC84,1)*IF(CD85=3,BC85,1)*IF(CD86=3,BC86,1)*IF(CD87=3,BC87,1)*IF(CD88=3,BC88,1)*IF(CD89=3,BC89,1)*IF(CD90=3,BC90,1)*IF(CD91=3,BC91,1)</f>
        <v>1</v>
      </c>
      <c r="DJ86" s="134">
        <f>IF(CE84=3,BE84,1)*IF(CE85=3,BE85,1)*IF(CE86=3,BE86,1)*IF(CE87=3,BE87,1)*IF(CE88=3,BE88,1)*IF(CE89=3,BE89,1)*IF(CE90=3,BE90,1)*IF(CE91=3,BE91,1)</f>
        <v>1</v>
      </c>
      <c r="DK86" s="134">
        <f>IF(CF84=3,BG84,1)*IF(CF85=3,BG85,1)*IF(CF86=3,BG86,1)*IF(CF87=3,BG87,1)*IF(CF88=3,BG88,1)*IF(CF89=3,BG89,1)*IF(CF90=3,BG90,1)*IF(CF91=3,BG91,1)</f>
        <v>1</v>
      </c>
      <c r="DL86" s="134">
        <f>IF(CG84=3,BI84,1)*IF(CG85=3,BI85,1)*IF(CG86=3,BI86,1)*IF(CG87=3,BI87,1)*IF(CG88=3,BI88,1)*IF(CG89=3,BI89,1)*IF(CG90=3,BI90,1)*IF(CG91=3,BI91,1)</f>
        <v>1</v>
      </c>
      <c r="DM86" s="134">
        <f>IF(CH84=3,BK84,1)*IF(CH85=3,BK85,1)*IF(CH86=3,BK86,1)*IF(CH87=3,BK87,1)*IF(CH88=3,BK88,1)*IF(CH89=3,BK89,1)*IF(CH90=3,BK90,1)*IF(CH91=3,BK91,1)</f>
        <v>1</v>
      </c>
      <c r="DN86" s="134">
        <f>IF(CI84=3,BM84,1)*IF(CI85=3,BM85,1)*IF(CI86=3,BM86,1)*IF(CI87=3,BM87,1)*IF(CI88=3,BM88,1)*IF(CI89=3,BM89,1)*IF(CI90=3,BM90,1)*IF(CI91=3,BM91,1)</f>
        <v>1</v>
      </c>
      <c r="DO86" s="134">
        <f>IF(CJ84=3,BO84,1)*IF(CJ85=3,BO85,1)*IF(CJ86=3,BO86,1)*IF(CJ87=3,BO87,1)*IF(CJ88=3,BO88,1)*IF(CJ89=3,BO89,1)*IF(CJ90=3,BO90,1)*IF(CJ91=3,BO91,1)</f>
        <v>1</v>
      </c>
      <c r="DP86" s="134">
        <f>IF(CK84=3,BQ84,1)*IF(CK85=3,BQ85,1)*IF(CK86=3,BQ86,1)*IF(CK87=3,BQ87,1)*IF(CK88=3,BQ88,1)*IF(CK89=3,BQ89,1)*IF(CK90=3,BQ90,1)*IF(CK91=3,BQ91,1)</f>
        <v>1</v>
      </c>
      <c r="DQ86" s="144">
        <f t="shared" ref="DQ86" si="121">PRODUCT(DA86:DP86)</f>
        <v>1</v>
      </c>
      <c r="DR86" s="134">
        <f>B86</f>
        <v>1</v>
      </c>
    </row>
    <row r="87" spans="2:122" x14ac:dyDescent="0.25">
      <c r="D87" s="134" t="str">
        <f>'Descripcion Actividades'!C65</f>
        <v>1 Hay múltiples fuentes para la consecusión de los materiales e insumos.</v>
      </c>
      <c r="E87" s="134">
        <v>1</v>
      </c>
      <c r="AM87" s="134" t="str">
        <f t="shared" si="117"/>
        <v>1</v>
      </c>
      <c r="AN87" s="134">
        <f t="shared" si="110"/>
        <v>1</v>
      </c>
      <c r="AP87" s="134">
        <f t="shared" si="111"/>
        <v>0</v>
      </c>
      <c r="AR87" s="134">
        <f t="shared" si="98"/>
        <v>0</v>
      </c>
      <c r="AT87" s="134">
        <f t="shared" si="99"/>
        <v>0</v>
      </c>
      <c r="AV87" s="134">
        <f t="shared" si="100"/>
        <v>0</v>
      </c>
      <c r="AX87" s="134">
        <f t="shared" si="93"/>
        <v>0</v>
      </c>
      <c r="AZ87" s="134">
        <f t="shared" si="101"/>
        <v>0</v>
      </c>
      <c r="BB87" s="134">
        <f t="shared" si="102"/>
        <v>0</v>
      </c>
      <c r="BD87" s="134">
        <f t="shared" si="103"/>
        <v>0</v>
      </c>
      <c r="BF87" s="134">
        <f t="shared" si="94"/>
        <v>0</v>
      </c>
      <c r="BH87" s="134">
        <f t="shared" si="104"/>
        <v>0</v>
      </c>
      <c r="BJ87" s="134">
        <f t="shared" si="105"/>
        <v>0</v>
      </c>
      <c r="BL87" s="134">
        <f t="shared" si="106"/>
        <v>0</v>
      </c>
      <c r="BN87" s="134">
        <f t="shared" si="95"/>
        <v>0</v>
      </c>
      <c r="BP87" s="134">
        <f t="shared" si="107"/>
        <v>0</v>
      </c>
      <c r="BR87" s="134">
        <f t="shared" si="108"/>
        <v>0</v>
      </c>
      <c r="BT87" s="134">
        <f t="shared" si="109"/>
        <v>0</v>
      </c>
      <c r="BV87" s="134">
        <f t="shared" si="119"/>
        <v>1</v>
      </c>
      <c r="CL87" s="142"/>
      <c r="CX87" s="144"/>
      <c r="CY87" s="144"/>
      <c r="CZ87" s="144"/>
      <c r="DQ87" s="144"/>
    </row>
    <row r="88" spans="2:122" x14ac:dyDescent="0.25">
      <c r="D88" s="134" t="str">
        <f>'Descripcion Actividades'!C71</f>
        <v>1 Ninguno de los materiales e insumos requiere de permiso legal para acceder a ellos.</v>
      </c>
      <c r="E88" s="134">
        <v>1</v>
      </c>
      <c r="AM88" s="134" t="str">
        <f t="shared" si="117"/>
        <v>1</v>
      </c>
      <c r="AN88" s="134">
        <f t="shared" si="110"/>
        <v>1</v>
      </c>
      <c r="AP88" s="134">
        <f t="shared" si="111"/>
        <v>0</v>
      </c>
      <c r="AR88" s="134">
        <f t="shared" si="98"/>
        <v>0</v>
      </c>
      <c r="AT88" s="134">
        <f t="shared" si="99"/>
        <v>0</v>
      </c>
      <c r="AV88" s="134">
        <f t="shared" si="100"/>
        <v>0</v>
      </c>
      <c r="AX88" s="134">
        <f t="shared" si="93"/>
        <v>0</v>
      </c>
      <c r="AZ88" s="134">
        <f t="shared" si="101"/>
        <v>0</v>
      </c>
      <c r="BB88" s="134">
        <f t="shared" si="102"/>
        <v>0</v>
      </c>
      <c r="BD88" s="134">
        <f t="shared" si="103"/>
        <v>0</v>
      </c>
      <c r="BF88" s="134">
        <f t="shared" si="94"/>
        <v>0</v>
      </c>
      <c r="BH88" s="134">
        <f t="shared" si="104"/>
        <v>0</v>
      </c>
      <c r="BJ88" s="134">
        <f t="shared" si="105"/>
        <v>0</v>
      </c>
      <c r="BL88" s="134">
        <f t="shared" si="106"/>
        <v>0</v>
      </c>
      <c r="BN88" s="134">
        <f t="shared" si="95"/>
        <v>0</v>
      </c>
      <c r="BP88" s="134">
        <f t="shared" si="107"/>
        <v>0</v>
      </c>
      <c r="BR88" s="134">
        <f t="shared" si="108"/>
        <v>0</v>
      </c>
      <c r="BT88" s="134">
        <f t="shared" si="109"/>
        <v>0</v>
      </c>
      <c r="BV88" s="134">
        <f t="shared" si="119"/>
        <v>1</v>
      </c>
      <c r="CL88" s="142"/>
      <c r="CX88" s="144"/>
      <c r="CY88" s="144"/>
      <c r="CZ88" s="144"/>
      <c r="DQ88" s="144"/>
    </row>
    <row r="89" spans="2:122" x14ac:dyDescent="0.25">
      <c r="D89" s="134" t="str">
        <f>'Descripcion Actividades'!C73</f>
        <v>1 Los materiales e insumos son todos de origen nacional.</v>
      </c>
      <c r="E89" s="134">
        <v>1</v>
      </c>
      <c r="AM89" s="134" t="str">
        <f t="shared" si="117"/>
        <v>1</v>
      </c>
      <c r="AN89" s="134">
        <f t="shared" si="110"/>
        <v>1</v>
      </c>
      <c r="AP89" s="134">
        <f t="shared" si="111"/>
        <v>0</v>
      </c>
      <c r="AR89" s="134">
        <f t="shared" si="98"/>
        <v>0</v>
      </c>
      <c r="AT89" s="134">
        <f t="shared" si="99"/>
        <v>0</v>
      </c>
      <c r="AV89" s="134">
        <f t="shared" si="100"/>
        <v>0</v>
      </c>
      <c r="AX89" s="134">
        <f t="shared" si="93"/>
        <v>0</v>
      </c>
      <c r="AZ89" s="134">
        <f t="shared" si="101"/>
        <v>0</v>
      </c>
      <c r="BB89" s="134">
        <f t="shared" si="102"/>
        <v>0</v>
      </c>
      <c r="BD89" s="134">
        <f t="shared" si="103"/>
        <v>0</v>
      </c>
      <c r="BF89" s="134">
        <f t="shared" si="94"/>
        <v>0</v>
      </c>
      <c r="BH89" s="134">
        <f t="shared" si="104"/>
        <v>0</v>
      </c>
      <c r="BJ89" s="134">
        <f t="shared" si="105"/>
        <v>0</v>
      </c>
      <c r="BL89" s="134">
        <f t="shared" si="106"/>
        <v>0</v>
      </c>
      <c r="BN89" s="134">
        <f t="shared" si="95"/>
        <v>0</v>
      </c>
      <c r="BP89" s="134">
        <f t="shared" si="107"/>
        <v>0</v>
      </c>
      <c r="BR89" s="134">
        <f t="shared" si="108"/>
        <v>0</v>
      </c>
      <c r="BT89" s="134">
        <f t="shared" si="109"/>
        <v>0</v>
      </c>
      <c r="BV89" s="134">
        <f t="shared" si="119"/>
        <v>1</v>
      </c>
      <c r="CL89" s="142"/>
      <c r="CX89" s="144"/>
      <c r="CY89" s="144"/>
      <c r="CZ89" s="144"/>
      <c r="DQ89" s="144"/>
    </row>
    <row r="90" spans="2:122" x14ac:dyDescent="0.25">
      <c r="D90" s="134" t="str">
        <f>'Descripcion Actividades'!C75</f>
        <v>1 No se contemplan materiales e insumos perecederos para la ejecución del contrato.</v>
      </c>
      <c r="E90" s="134">
        <v>1</v>
      </c>
      <c r="AM90" s="134" t="str">
        <f t="shared" si="117"/>
        <v>1</v>
      </c>
      <c r="AN90" s="134">
        <f t="shared" si="110"/>
        <v>1</v>
      </c>
      <c r="AP90" s="134">
        <f t="shared" si="111"/>
        <v>0</v>
      </c>
      <c r="AR90" s="134">
        <f t="shared" si="98"/>
        <v>0</v>
      </c>
      <c r="AT90" s="134">
        <f t="shared" si="99"/>
        <v>0</v>
      </c>
      <c r="AV90" s="134">
        <f t="shared" si="100"/>
        <v>0</v>
      </c>
      <c r="AX90" s="134">
        <f t="shared" si="93"/>
        <v>0</v>
      </c>
      <c r="AZ90" s="134">
        <f t="shared" si="101"/>
        <v>0</v>
      </c>
      <c r="BB90" s="134">
        <f t="shared" si="102"/>
        <v>0</v>
      </c>
      <c r="BD90" s="134">
        <f t="shared" si="103"/>
        <v>0</v>
      </c>
      <c r="BF90" s="134">
        <f t="shared" si="94"/>
        <v>0</v>
      </c>
      <c r="BH90" s="134">
        <f t="shared" si="104"/>
        <v>0</v>
      </c>
      <c r="BJ90" s="134">
        <f t="shared" si="105"/>
        <v>0</v>
      </c>
      <c r="BL90" s="134">
        <f t="shared" si="106"/>
        <v>0</v>
      </c>
      <c r="BN90" s="134">
        <f t="shared" si="95"/>
        <v>0</v>
      </c>
      <c r="BP90" s="134">
        <f t="shared" si="107"/>
        <v>0</v>
      </c>
      <c r="BR90" s="134">
        <f t="shared" si="108"/>
        <v>0</v>
      </c>
      <c r="BT90" s="134">
        <f t="shared" si="109"/>
        <v>0</v>
      </c>
      <c r="BV90" s="134">
        <f t="shared" si="119"/>
        <v>1</v>
      </c>
      <c r="CL90" s="142"/>
      <c r="CX90" s="144"/>
      <c r="CY90" s="144"/>
      <c r="CZ90" s="144"/>
      <c r="DQ90" s="144"/>
    </row>
    <row r="91" spans="2:122" s="144" customFormat="1" x14ac:dyDescent="0.25">
      <c r="C91" s="147"/>
      <c r="BV91" s="144">
        <f>BV86*BV87*BV88*BV89*BV90</f>
        <v>1</v>
      </c>
      <c r="BW91" s="144">
        <f>BW86</f>
        <v>2</v>
      </c>
      <c r="CL91" s="148">
        <f>PRODUCT(BV91:CK91)</f>
        <v>2</v>
      </c>
      <c r="CX91" s="144" t="str">
        <f>IF(CL91&lt;CO21,'cap.7 - analisis riesgos'!$B$15,IF('Eval Factores de Riesgo'!CL91&lt;'Eval Factores de Riesgo'!CP21,'cap.7 - analisis riesgos'!$B$16,IF('Eval Factores de Riesgo'!CL91&lt;'Eval Factores de Riesgo'!CQ21,'cap.7 - analisis riesgos'!$B$17,IF('Eval Factores de Riesgo'!CL91&lt;'Eval Factores de Riesgo'!CS21,'cap.7 - analisis riesgos'!$B$18,'cap.7 - analisis riesgos'!$B$19))))</f>
        <v>Poco Probable</v>
      </c>
      <c r="CY91" s="144">
        <f>IF(CL91&lt;CP21,'cap.7 - analisis riesgos'!$G$15,IF('Eval Factores de Riesgo'!CL91&lt;'Eval Factores de Riesgo'!CQ21,'cap.7 - analisis riesgos'!$G$16,IF('Eval Factores de Riesgo'!CL91&lt;'Eval Factores de Riesgo'!CS21,'cap.7 - analisis riesgos'!$G$17,IF('Eval Factores de Riesgo'!CL91&lt;'Eval Factores de Riesgo'!CT21,'cap.7 - analisis riesgos'!$G$18,'cap.7 - analisis riesgos'!$G$19))))</f>
        <v>1</v>
      </c>
      <c r="CZ91" s="144">
        <f>MAX(DA91:DP91)</f>
        <v>1</v>
      </c>
      <c r="DA91" s="144">
        <f>DA86</f>
        <v>1</v>
      </c>
      <c r="DB91" s="144">
        <f t="shared" ref="DB91:DP91" si="122">DB86</f>
        <v>1</v>
      </c>
      <c r="DC91" s="144">
        <f t="shared" si="122"/>
        <v>1</v>
      </c>
      <c r="DD91" s="144">
        <f t="shared" si="122"/>
        <v>1</v>
      </c>
      <c r="DE91" s="144">
        <f t="shared" si="122"/>
        <v>1</v>
      </c>
      <c r="DF91" s="144">
        <f t="shared" si="122"/>
        <v>1</v>
      </c>
      <c r="DG91" s="144">
        <f t="shared" si="122"/>
        <v>1</v>
      </c>
      <c r="DH91" s="144">
        <f t="shared" si="122"/>
        <v>1</v>
      </c>
      <c r="DI91" s="144">
        <f t="shared" si="122"/>
        <v>1</v>
      </c>
      <c r="DJ91" s="144">
        <f t="shared" si="122"/>
        <v>1</v>
      </c>
      <c r="DK91" s="144">
        <f t="shared" si="122"/>
        <v>1</v>
      </c>
      <c r="DL91" s="144">
        <f t="shared" si="122"/>
        <v>1</v>
      </c>
      <c r="DM91" s="144">
        <f t="shared" si="122"/>
        <v>1</v>
      </c>
      <c r="DN91" s="144">
        <f t="shared" si="122"/>
        <v>1</v>
      </c>
      <c r="DO91" s="144">
        <f t="shared" si="122"/>
        <v>1</v>
      </c>
      <c r="DP91" s="144">
        <f t="shared" si="122"/>
        <v>1</v>
      </c>
    </row>
    <row r="92" spans="2:122" x14ac:dyDescent="0.25">
      <c r="DA92" s="144">
        <f>$CZ$91-DA91</f>
        <v>0</v>
      </c>
      <c r="DB92" s="144">
        <f t="shared" ref="DB92:DP92" si="123">$CZ$91-DB91</f>
        <v>0</v>
      </c>
      <c r="DC92" s="144">
        <f t="shared" si="123"/>
        <v>0</v>
      </c>
      <c r="DD92" s="144">
        <f t="shared" si="123"/>
        <v>0</v>
      </c>
      <c r="DE92" s="144">
        <f t="shared" si="123"/>
        <v>0</v>
      </c>
      <c r="DF92" s="144">
        <f t="shared" si="123"/>
        <v>0</v>
      </c>
      <c r="DG92" s="144">
        <f t="shared" si="123"/>
        <v>0</v>
      </c>
      <c r="DH92" s="144">
        <f t="shared" si="123"/>
        <v>0</v>
      </c>
      <c r="DI92" s="144">
        <f t="shared" si="123"/>
        <v>0</v>
      </c>
      <c r="DJ92" s="144">
        <f t="shared" si="123"/>
        <v>0</v>
      </c>
      <c r="DK92" s="144">
        <f t="shared" si="123"/>
        <v>0</v>
      </c>
      <c r="DL92" s="144">
        <f t="shared" si="123"/>
        <v>0</v>
      </c>
      <c r="DM92" s="144">
        <f t="shared" si="123"/>
        <v>0</v>
      </c>
      <c r="DN92" s="144">
        <f t="shared" si="123"/>
        <v>0</v>
      </c>
      <c r="DO92" s="144">
        <f t="shared" si="123"/>
        <v>0</v>
      </c>
      <c r="DP92" s="144">
        <f t="shared" si="123"/>
        <v>0</v>
      </c>
      <c r="DR92" s="144">
        <f>IF(DA92=0,DA85,IF(DB92=0,DB85,IF(DC92=0,DC85,IF(DD92=0,DD85,IF(DE92=0,DE85,IF(DF92=0,DF85,IF(DG92=0,DG85,IF(DH92=0,DH85,IF(DI92=0,DI85,IF(DJ92=0,DJ85,IF(DK92=0,DK85,IF(DL92=0,DL85,IF(DM92=0,DM85,IF(DN92=0,DN85,IF(DO92=0,DO85,DP85)))))))))))))))</f>
        <v>11</v>
      </c>
    </row>
    <row r="93" spans="2:122" x14ac:dyDescent="0.25">
      <c r="B93" s="134">
        <v>1</v>
      </c>
      <c r="C93" s="136" t="s">
        <v>846</v>
      </c>
    </row>
    <row r="94" spans="2:122" x14ac:dyDescent="0.25">
      <c r="B94" s="134">
        <v>2</v>
      </c>
      <c r="C94" s="136" t="s">
        <v>847</v>
      </c>
    </row>
    <row r="95" spans="2:122" x14ac:dyDescent="0.25">
      <c r="B95" s="134">
        <v>3</v>
      </c>
      <c r="C95" s="136" t="s">
        <v>848</v>
      </c>
    </row>
    <row r="96" spans="2:122" x14ac:dyDescent="0.25">
      <c r="B96" s="134">
        <v>4</v>
      </c>
      <c r="C96" s="136" t="s">
        <v>849</v>
      </c>
    </row>
    <row r="97" spans="2:3" x14ac:dyDescent="0.25">
      <c r="B97" s="134">
        <v>5</v>
      </c>
      <c r="C97" s="136" t="s">
        <v>850</v>
      </c>
    </row>
    <row r="98" spans="2:3" x14ac:dyDescent="0.25">
      <c r="B98" s="134">
        <v>6</v>
      </c>
      <c r="C98" s="137" t="s">
        <v>602</v>
      </c>
    </row>
    <row r="99" spans="2:3" x14ac:dyDescent="0.25">
      <c r="B99" s="134">
        <v>7</v>
      </c>
      <c r="C99" s="137" t="s">
        <v>601</v>
      </c>
    </row>
    <row r="100" spans="2:3" x14ac:dyDescent="0.25">
      <c r="B100" s="134">
        <v>8</v>
      </c>
      <c r="C100" s="152" t="s">
        <v>603</v>
      </c>
    </row>
    <row r="101" spans="2:3" x14ac:dyDescent="0.25">
      <c r="B101" s="134">
        <v>9</v>
      </c>
      <c r="C101" s="151" t="s">
        <v>604</v>
      </c>
    </row>
    <row r="102" spans="2:3" x14ac:dyDescent="0.25">
      <c r="B102" s="134">
        <v>10</v>
      </c>
      <c r="C102" s="151" t="s">
        <v>605</v>
      </c>
    </row>
    <row r="103" spans="2:3" x14ac:dyDescent="0.25">
      <c r="B103" s="134">
        <v>11</v>
      </c>
      <c r="C103" s="137" t="s">
        <v>606</v>
      </c>
    </row>
    <row r="104" spans="2:3" x14ac:dyDescent="0.25">
      <c r="B104" s="134">
        <v>12</v>
      </c>
      <c r="C104" s="137" t="s">
        <v>607</v>
      </c>
    </row>
    <row r="105" spans="2:3" x14ac:dyDescent="0.25">
      <c r="B105" s="134">
        <v>13</v>
      </c>
      <c r="C105" s="137" t="s">
        <v>608</v>
      </c>
    </row>
    <row r="106" spans="2:3" x14ac:dyDescent="0.25">
      <c r="B106" s="134">
        <v>14</v>
      </c>
      <c r="C106" s="137" t="s">
        <v>609</v>
      </c>
    </row>
    <row r="107" spans="2:3" x14ac:dyDescent="0.25">
      <c r="B107" s="134">
        <v>15</v>
      </c>
      <c r="C107" s="137" t="s">
        <v>610</v>
      </c>
    </row>
    <row r="108" spans="2:3" x14ac:dyDescent="0.25">
      <c r="B108" s="134">
        <v>16</v>
      </c>
      <c r="C108" s="137" t="s">
        <v>611</v>
      </c>
    </row>
  </sheetData>
  <sheetProtection algorithmName="SHA-512" hashValue="DsqbBY856X3IW/ZbwWaB0xnhukj3euGb2xre82HHOKPsbT200ZhXCEzUV5o7UlUzZ9eRIvNGUJzf1rqvmAPkUQ==" saltValue="i7n52vXm+Q/4jE9vBO83GQ==" spinCount="100000" sheet="1"/>
  <pageMargins left="0.7" right="0.7" top="0.75" bottom="0.75" header="0.3" footer="0.3"/>
  <pageSetup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115"/>
  <sheetViews>
    <sheetView workbookViewId="0">
      <selection activeCell="B11" sqref="B11"/>
    </sheetView>
  </sheetViews>
  <sheetFormatPr baseColWidth="10" defaultColWidth="10.85546875" defaultRowHeight="15" x14ac:dyDescent="0.25"/>
  <cols>
    <col min="1" max="1" width="17.7109375" style="134" customWidth="1"/>
    <col min="2" max="2" width="20" style="134" customWidth="1"/>
    <col min="3" max="7" width="16.7109375" style="134" customWidth="1"/>
    <col min="8" max="8" width="11.42578125" style="134" bestFit="1" customWidth="1"/>
    <col min="9" max="9" width="10.85546875" style="134"/>
    <col min="10" max="10" width="12.7109375" style="134" customWidth="1"/>
    <col min="11" max="16384" width="10.85546875" style="134"/>
  </cols>
  <sheetData>
    <row r="3" spans="1:4" x14ac:dyDescent="0.25">
      <c r="B3" s="156" t="s">
        <v>500</v>
      </c>
      <c r="C3" s="156" t="s">
        <v>501</v>
      </c>
      <c r="D3" s="156" t="s">
        <v>511</v>
      </c>
    </row>
    <row r="4" spans="1:4" x14ac:dyDescent="0.25">
      <c r="A4" s="157" t="s">
        <v>506</v>
      </c>
      <c r="B4" s="158">
        <v>1</v>
      </c>
      <c r="C4" s="158">
        <v>3</v>
      </c>
      <c r="D4" s="158">
        <v>1</v>
      </c>
    </row>
    <row r="5" spans="1:4" x14ac:dyDescent="0.25">
      <c r="A5" s="157" t="s">
        <v>508</v>
      </c>
      <c r="B5" s="158">
        <v>4</v>
      </c>
      <c r="C5" s="158">
        <v>6</v>
      </c>
      <c r="D5" s="158">
        <v>2</v>
      </c>
    </row>
    <row r="6" spans="1:4" x14ac:dyDescent="0.25">
      <c r="A6" s="157" t="s">
        <v>509</v>
      </c>
      <c r="B6" s="158">
        <v>7</v>
      </c>
      <c r="C6" s="158">
        <v>12</v>
      </c>
      <c r="D6" s="158">
        <v>3</v>
      </c>
    </row>
    <row r="7" spans="1:4" x14ac:dyDescent="0.25">
      <c r="A7" s="157" t="s">
        <v>507</v>
      </c>
      <c r="B7" s="158">
        <v>13</v>
      </c>
      <c r="C7" s="158">
        <v>24</v>
      </c>
      <c r="D7" s="158">
        <v>4</v>
      </c>
    </row>
    <row r="8" spans="1:4" x14ac:dyDescent="0.25">
      <c r="A8" s="157" t="s">
        <v>510</v>
      </c>
      <c r="B8" s="158">
        <v>25</v>
      </c>
      <c r="C8" s="158"/>
      <c r="D8" s="158">
        <v>5</v>
      </c>
    </row>
    <row r="11" spans="1:4" ht="30" x14ac:dyDescent="0.25">
      <c r="A11" s="157" t="s">
        <v>514</v>
      </c>
      <c r="B11" s="158">
        <f>IF('Datos Generales'!L17&lt;=Valimpacto!C4,Valimpacto!D4,IF('Datos Generales'!L17&lt;=Valimpacto!C5,Valimpacto!D5,IF('Datos Generales'!L17&lt;=Valimpacto!C6,Valimpacto!D6,IF('Datos Generales'!L17&lt;=Valimpacto!C7,Valimpacto!D7,Valimpacto!D8))))</f>
        <v>3</v>
      </c>
    </row>
    <row r="13" spans="1:4" ht="30" x14ac:dyDescent="0.25">
      <c r="A13" s="157" t="s">
        <v>515</v>
      </c>
      <c r="B13" s="159">
        <f>IF('Datos Generales'!F23&lt;=Valimpacto!C4,Valimpacto!D4,IF('Datos Generales'!F23&lt;=Valimpacto!C5,Valimpacto!D5,IF('Datos Generales'!F23&lt;=Valimpacto!C6,Valimpacto!D6,IF('Datos Generales'!F23&lt;=Valimpacto!C7,Valimpacto!D7,Valimpacto!D8))))</f>
        <v>2</v>
      </c>
    </row>
    <row r="14" spans="1:4" ht="30" x14ac:dyDescent="0.25">
      <c r="A14" s="157" t="s">
        <v>516</v>
      </c>
      <c r="B14" s="159">
        <f>IF('Datos Generales'!F24&lt;=Valimpacto!C4,Valimpacto!D4,IF('Datos Generales'!F24&lt;=Valimpacto!C5,Valimpacto!D5,IF('Datos Generales'!F24&lt;=Valimpacto!C6,Valimpacto!D6,IF('Datos Generales'!F24&lt;=Valimpacto!C7,Valimpacto!D7,Valimpacto!D8))))</f>
        <v>2</v>
      </c>
    </row>
    <row r="15" spans="1:4" ht="30" x14ac:dyDescent="0.25">
      <c r="A15" s="157" t="s">
        <v>517</v>
      </c>
      <c r="B15" s="159">
        <f>IF('Datos Generales'!F25&lt;=Valimpacto!C4,Valimpacto!D4,IF('Datos Generales'!F25&lt;=Valimpacto!C5,Valimpacto!D5,IF('Datos Generales'!F25&lt;=Valimpacto!C6,Valimpacto!D6,IF('Datos Generales'!F25&lt;=Valimpacto!C7,Valimpacto!D7,Valimpacto!D8))))</f>
        <v>1</v>
      </c>
    </row>
    <row r="16" spans="1:4" ht="30" x14ac:dyDescent="0.25">
      <c r="A16" s="157" t="s">
        <v>518</v>
      </c>
      <c r="B16" s="159">
        <f>IF('Datos Generales'!F26&lt;=Valimpacto!C4,Valimpacto!D4,IF('Datos Generales'!F26&lt;=Valimpacto!C5,Valimpacto!D5,IF('Datos Generales'!F26&lt;=Valimpacto!C6,Valimpacto!D6,IF('Datos Generales'!F26&lt;=Valimpacto!C7,Valimpacto!D7,Valimpacto!D8))))</f>
        <v>1</v>
      </c>
    </row>
    <row r="17" spans="1:7" ht="30" x14ac:dyDescent="0.25">
      <c r="A17" s="157" t="s">
        <v>519</v>
      </c>
      <c r="B17" s="159">
        <f>IF('Datos Generales'!F27&lt;=Valimpacto!C4,Valimpacto!D4,IF('Datos Generales'!F27&lt;=Valimpacto!C5,Valimpacto!D5,IF('Datos Generales'!F27&lt;=Valimpacto!C6,Valimpacto!D6,IF('Datos Generales'!F27&lt;=Valimpacto!C7,Valimpacto!D7,Valimpacto!D8))))</f>
        <v>1</v>
      </c>
    </row>
    <row r="18" spans="1:7" ht="30" x14ac:dyDescent="0.25">
      <c r="A18" s="157" t="s">
        <v>520</v>
      </c>
      <c r="B18" s="159">
        <f>IF('Datos Generales'!F28&lt;=Valimpacto!C4,Valimpacto!D4,IF('Datos Generales'!F28&lt;=Valimpacto!C5,Valimpacto!D5,IF('Datos Generales'!F28&lt;=Valimpacto!C6,Valimpacto!D6,IF('Datos Generales'!F28&lt;=Valimpacto!C7,Valimpacto!D7,Valimpacto!D8))))</f>
        <v>1</v>
      </c>
    </row>
    <row r="20" spans="1:7" ht="45" x14ac:dyDescent="0.25">
      <c r="A20" s="157" t="s">
        <v>528</v>
      </c>
      <c r="B20" s="160">
        <f>'Datos Generales'!C17/'Datos Generales'!L17</f>
        <v>311175085</v>
      </c>
    </row>
    <row r="23" spans="1:7" ht="45" x14ac:dyDescent="0.25">
      <c r="A23" s="157" t="s">
        <v>521</v>
      </c>
      <c r="B23" s="161">
        <f>IFERROR('Datos Generales'!I23/'Datos Generales'!F23,"")</f>
        <v>233381313.75</v>
      </c>
    </row>
    <row r="24" spans="1:7" ht="45" x14ac:dyDescent="0.25">
      <c r="A24" s="157" t="s">
        <v>522</v>
      </c>
      <c r="B24" s="161">
        <f>IFERROR('Datos Generales'!I24/'Datos Generales'!F24,"")</f>
        <v>311175085</v>
      </c>
    </row>
    <row r="25" spans="1:7" ht="45" x14ac:dyDescent="0.25">
      <c r="A25" s="157" t="s">
        <v>523</v>
      </c>
      <c r="B25" s="161" t="str">
        <f>IFERROR('Datos Generales'!I25/'Datos Generales'!F25,"")</f>
        <v/>
      </c>
    </row>
    <row r="26" spans="1:7" ht="45" x14ac:dyDescent="0.25">
      <c r="A26" s="157" t="s">
        <v>524</v>
      </c>
      <c r="B26" s="161" t="str">
        <f>IFERROR('Datos Generales'!I26/'Datos Generales'!F26,"")</f>
        <v/>
      </c>
    </row>
    <row r="27" spans="1:7" ht="45" x14ac:dyDescent="0.25">
      <c r="A27" s="157" t="s">
        <v>525</v>
      </c>
      <c r="B27" s="161" t="str">
        <f>IFERROR('Datos Generales'!I27/'Datos Generales'!F27,"")</f>
        <v/>
      </c>
    </row>
    <row r="28" spans="1:7" ht="45" x14ac:dyDescent="0.25">
      <c r="A28" s="157" t="s">
        <v>526</v>
      </c>
      <c r="B28" s="161" t="str">
        <f>IFERROR('Datos Generales'!I28/'Datos Generales'!F28,"")</f>
        <v/>
      </c>
    </row>
    <row r="30" spans="1:7" x14ac:dyDescent="0.25">
      <c r="B30" s="162" t="s">
        <v>536</v>
      </c>
      <c r="C30" s="162" t="s">
        <v>537</v>
      </c>
      <c r="D30" s="162" t="s">
        <v>538</v>
      </c>
      <c r="E30" s="162" t="s">
        <v>539</v>
      </c>
      <c r="F30" s="162" t="s">
        <v>540</v>
      </c>
      <c r="G30" s="162" t="s">
        <v>541</v>
      </c>
    </row>
    <row r="31" spans="1:7" ht="30" x14ac:dyDescent="0.25">
      <c r="A31" s="163" t="s">
        <v>535</v>
      </c>
      <c r="B31" s="161">
        <f>IFERROR('Datos Generales'!E34/'Datos Generales'!$F$23,"")</f>
        <v>186705051</v>
      </c>
      <c r="C31" s="161">
        <f>IFERROR('Datos Generales'!E51/'Datos Generales'!$F$23,"")</f>
        <v>373410102</v>
      </c>
      <c r="D31" s="161">
        <f>IFERROR('Datos Generales'!E68/'Datos Generales'!$F$23,"")</f>
        <v>0</v>
      </c>
      <c r="E31" s="161">
        <f>IFERROR('Datos Generales'!E85/'Datos Generales'!$F$23,"")</f>
        <v>0</v>
      </c>
      <c r="F31" s="161">
        <f>IFERROR('Datos Generales'!E102/'Datos Generales'!$F$23,"")</f>
        <v>0</v>
      </c>
      <c r="G31" s="161">
        <f>IFERROR('Datos Generales'!E119/'Datos Generales'!$F$23,"")</f>
        <v>0</v>
      </c>
    </row>
    <row r="32" spans="1:7" ht="30" x14ac:dyDescent="0.25">
      <c r="A32" s="163" t="s">
        <v>535</v>
      </c>
      <c r="B32" s="161">
        <f>IFERROR('Datos Generales'!E35/'Datos Generales'!$F$23,"")</f>
        <v>46676262.75</v>
      </c>
      <c r="C32" s="161">
        <f>IFERROR('Datos Generales'!E52/'Datos Generales'!$F$23,"")</f>
        <v>93352525.5</v>
      </c>
      <c r="D32" s="161">
        <f>IFERROR('Datos Generales'!E69/'Datos Generales'!$F$23,"")</f>
        <v>0</v>
      </c>
      <c r="E32" s="161">
        <f>IFERROR('Datos Generales'!E86/'Datos Generales'!$F$23,"")</f>
        <v>0</v>
      </c>
      <c r="F32" s="161">
        <f>IFERROR('Datos Generales'!E103/'Datos Generales'!$F$23,"")</f>
        <v>0</v>
      </c>
      <c r="G32" s="161">
        <f>IFERROR('Datos Generales'!E120/'Datos Generales'!$F$23,"")</f>
        <v>0</v>
      </c>
    </row>
    <row r="33" spans="1:7" ht="30" x14ac:dyDescent="0.25">
      <c r="A33" s="163" t="s">
        <v>535</v>
      </c>
      <c r="B33" s="161">
        <f>IFERROR('Datos Generales'!E36/'Datos Generales'!$F$23,"")</f>
        <v>0</v>
      </c>
      <c r="C33" s="161">
        <f>IFERROR('Datos Generales'!E53/'Datos Generales'!$F$23,"")</f>
        <v>0</v>
      </c>
      <c r="D33" s="161">
        <f>IFERROR('Datos Generales'!E70/'Datos Generales'!$F$23,"")</f>
        <v>0</v>
      </c>
      <c r="E33" s="161">
        <f>IFERROR('Datos Generales'!E87/'Datos Generales'!$F$23,"")</f>
        <v>0</v>
      </c>
      <c r="F33" s="161">
        <f>IFERROR('Datos Generales'!E104/'Datos Generales'!$F$23,"")</f>
        <v>0</v>
      </c>
      <c r="G33" s="161">
        <f>IFERROR('Datos Generales'!E121/'Datos Generales'!$F$23,"")</f>
        <v>0</v>
      </c>
    </row>
    <row r="34" spans="1:7" ht="30" x14ac:dyDescent="0.25">
      <c r="A34" s="163" t="s">
        <v>535</v>
      </c>
      <c r="B34" s="161">
        <f>IFERROR('Datos Generales'!E37/'Datos Generales'!$F$23,"")</f>
        <v>0</v>
      </c>
      <c r="C34" s="161">
        <f>IFERROR('Datos Generales'!E54/'Datos Generales'!$F$23,"")</f>
        <v>0</v>
      </c>
      <c r="D34" s="161">
        <f>IFERROR('Datos Generales'!E71/'Datos Generales'!$F$23,"")</f>
        <v>0</v>
      </c>
      <c r="E34" s="161">
        <f>IFERROR('Datos Generales'!E88/'Datos Generales'!$F$23,"")</f>
        <v>0</v>
      </c>
      <c r="F34" s="161">
        <f>IFERROR('Datos Generales'!E105/'Datos Generales'!$F$23,"")</f>
        <v>0</v>
      </c>
      <c r="G34" s="161">
        <f>IFERROR('Datos Generales'!E122/'Datos Generales'!$F$23,"")</f>
        <v>0</v>
      </c>
    </row>
    <row r="35" spans="1:7" ht="30" x14ac:dyDescent="0.25">
      <c r="A35" s="163" t="s">
        <v>535</v>
      </c>
      <c r="B35" s="161">
        <f>IFERROR('Datos Generales'!E38/'Datos Generales'!$F$23,"")</f>
        <v>0</v>
      </c>
      <c r="C35" s="161">
        <f>IFERROR('Datos Generales'!E55/'Datos Generales'!$F$23,"")</f>
        <v>0</v>
      </c>
      <c r="D35" s="161">
        <f>IFERROR('Datos Generales'!E72/'Datos Generales'!$F$23,"")</f>
        <v>0</v>
      </c>
      <c r="E35" s="161">
        <f>IFERROR('Datos Generales'!E89/'Datos Generales'!$F$23,"")</f>
        <v>0</v>
      </c>
      <c r="F35" s="161">
        <f>IFERROR('Datos Generales'!E106/'Datos Generales'!$F$23,"")</f>
        <v>0</v>
      </c>
      <c r="G35" s="161">
        <f>IFERROR('Datos Generales'!E123/'Datos Generales'!$F$23,"")</f>
        <v>0</v>
      </c>
    </row>
    <row r="36" spans="1:7" ht="30" x14ac:dyDescent="0.25">
      <c r="A36" s="163" t="s">
        <v>535</v>
      </c>
      <c r="B36" s="161">
        <f>IFERROR('Datos Generales'!E39/'Datos Generales'!$F$23,"")</f>
        <v>0</v>
      </c>
      <c r="C36" s="161">
        <f>IFERROR('Datos Generales'!E56/'Datos Generales'!$F$23,"")</f>
        <v>0</v>
      </c>
      <c r="D36" s="161">
        <f>IFERROR('Datos Generales'!E73/'Datos Generales'!$F$23,"")</f>
        <v>0</v>
      </c>
      <c r="E36" s="161">
        <f>IFERROR('Datos Generales'!E90/'Datos Generales'!$F$23,"")</f>
        <v>0</v>
      </c>
      <c r="F36" s="161">
        <f>IFERROR('Datos Generales'!E107/'Datos Generales'!$F$23,"")</f>
        <v>0</v>
      </c>
      <c r="G36" s="161">
        <f>IFERROR('Datos Generales'!E124/'Datos Generales'!$F$23,"")</f>
        <v>0</v>
      </c>
    </row>
    <row r="37" spans="1:7" ht="30" x14ac:dyDescent="0.25">
      <c r="A37" s="163" t="s">
        <v>535</v>
      </c>
      <c r="B37" s="161">
        <f>IFERROR('Datos Generales'!E40/'Datos Generales'!$F$23,"")</f>
        <v>0</v>
      </c>
      <c r="C37" s="161">
        <f>IFERROR('Datos Generales'!E57/'Datos Generales'!$F$23,"")</f>
        <v>0</v>
      </c>
      <c r="D37" s="161">
        <f>IFERROR('Datos Generales'!E74/'Datos Generales'!$F$23,"")</f>
        <v>0</v>
      </c>
      <c r="E37" s="161">
        <f>IFERROR('Datos Generales'!E91/'Datos Generales'!$F$23,"")</f>
        <v>0</v>
      </c>
      <c r="F37" s="161">
        <f>IFERROR('Datos Generales'!E108/'Datos Generales'!$F$23,"")</f>
        <v>0</v>
      </c>
      <c r="G37" s="161">
        <f>IFERROR('Datos Generales'!E125/'Datos Generales'!$F$23,"")</f>
        <v>0</v>
      </c>
    </row>
    <row r="38" spans="1:7" ht="30" x14ac:dyDescent="0.25">
      <c r="A38" s="163" t="s">
        <v>535</v>
      </c>
      <c r="B38" s="161">
        <f>IFERROR('Datos Generales'!E41/'Datos Generales'!$F$23,"")</f>
        <v>0</v>
      </c>
      <c r="C38" s="161">
        <f>IFERROR('Datos Generales'!E58/'Datos Generales'!$F$23,"")</f>
        <v>0</v>
      </c>
      <c r="D38" s="161">
        <f>IFERROR('Datos Generales'!E75/'Datos Generales'!$F$23,"")</f>
        <v>0</v>
      </c>
      <c r="E38" s="161">
        <f>IFERROR('Datos Generales'!E92/'Datos Generales'!$F$23,"")</f>
        <v>0</v>
      </c>
      <c r="F38" s="161">
        <f>IFERROR('Datos Generales'!E109/'Datos Generales'!$F$23,"")</f>
        <v>0</v>
      </c>
      <c r="G38" s="161">
        <f>IFERROR('Datos Generales'!E126/'Datos Generales'!$F$23,"")</f>
        <v>0</v>
      </c>
    </row>
    <row r="39" spans="1:7" ht="30" x14ac:dyDescent="0.25">
      <c r="A39" s="163" t="s">
        <v>535</v>
      </c>
      <c r="B39" s="161">
        <f>IFERROR('Datos Generales'!E42/'Datos Generales'!$F$23,"")</f>
        <v>0</v>
      </c>
      <c r="C39" s="161">
        <f>IFERROR('Datos Generales'!E59/'Datos Generales'!$F$23,"")</f>
        <v>0</v>
      </c>
      <c r="D39" s="161">
        <f>IFERROR('Datos Generales'!E76/'Datos Generales'!$F$23,"")</f>
        <v>0</v>
      </c>
      <c r="E39" s="161">
        <f>IFERROR('Datos Generales'!E93/'Datos Generales'!$F$23,"")</f>
        <v>0</v>
      </c>
      <c r="F39" s="161">
        <f>IFERROR('Datos Generales'!E110/'Datos Generales'!$F$23,"")</f>
        <v>0</v>
      </c>
      <c r="G39" s="161">
        <f>IFERROR('Datos Generales'!E127/'Datos Generales'!$F$23,"")</f>
        <v>0</v>
      </c>
    </row>
    <row r="40" spans="1:7" ht="30" x14ac:dyDescent="0.25">
      <c r="A40" s="163" t="s">
        <v>535</v>
      </c>
      <c r="B40" s="161">
        <f>IFERROR('Datos Generales'!E43/'Datos Generales'!$F$23,"")</f>
        <v>0</v>
      </c>
      <c r="C40" s="161">
        <f>IFERROR('Datos Generales'!E60/'Datos Generales'!$F$23,"")</f>
        <v>0</v>
      </c>
      <c r="D40" s="161">
        <f>IFERROR('Datos Generales'!E77/'Datos Generales'!$F$23,"")</f>
        <v>0</v>
      </c>
      <c r="E40" s="161">
        <f>IFERROR('Datos Generales'!E94/'Datos Generales'!$F$23,"")</f>
        <v>0</v>
      </c>
      <c r="F40" s="161">
        <f>IFERROR('Datos Generales'!E111/'Datos Generales'!$F$23,"")</f>
        <v>0</v>
      </c>
      <c r="G40" s="161">
        <f>IFERROR('Datos Generales'!E128/'Datos Generales'!$F$23,"")</f>
        <v>0</v>
      </c>
    </row>
    <row r="41" spans="1:7" ht="30" x14ac:dyDescent="0.25">
      <c r="A41" s="163" t="s">
        <v>535</v>
      </c>
      <c r="B41" s="161">
        <f>IFERROR('Datos Generales'!E44/'Datos Generales'!$F$23,"")</f>
        <v>0</v>
      </c>
      <c r="C41" s="161">
        <f>IFERROR('Datos Generales'!E61/'Datos Generales'!$F$23,"")</f>
        <v>0</v>
      </c>
      <c r="D41" s="161">
        <f>IFERROR('Datos Generales'!E78/'Datos Generales'!$F$23,"")</f>
        <v>0</v>
      </c>
      <c r="E41" s="161">
        <f>IFERROR('Datos Generales'!E95/'Datos Generales'!$F$23,"")</f>
        <v>0</v>
      </c>
      <c r="F41" s="161">
        <f>IFERROR('Datos Generales'!E112/'Datos Generales'!$F$23,"")</f>
        <v>0</v>
      </c>
      <c r="G41" s="161">
        <f>IFERROR('Datos Generales'!E129/'Datos Generales'!$F$23,"")</f>
        <v>0</v>
      </c>
    </row>
    <row r="42" spans="1:7" ht="30" x14ac:dyDescent="0.25">
      <c r="A42" s="163" t="s">
        <v>535</v>
      </c>
      <c r="B42" s="161">
        <f>IFERROR('Datos Generales'!E45/'Datos Generales'!$F$23,"")</f>
        <v>0</v>
      </c>
      <c r="C42" s="161">
        <f>IFERROR('Datos Generales'!E62/'Datos Generales'!$F$23,"")</f>
        <v>0</v>
      </c>
      <c r="D42" s="161">
        <f>IFERROR('Datos Generales'!E79/'Datos Generales'!$F$23,"")</f>
        <v>0</v>
      </c>
      <c r="E42" s="161">
        <f>IFERROR('Datos Generales'!E96/'Datos Generales'!$F$23,"")</f>
        <v>0</v>
      </c>
      <c r="F42" s="161">
        <f>IFERROR('Datos Generales'!E113/'Datos Generales'!$F$23,"")</f>
        <v>0</v>
      </c>
      <c r="G42" s="161">
        <f>IFERROR('Datos Generales'!E130/'Datos Generales'!$F$23,"")</f>
        <v>0</v>
      </c>
    </row>
    <row r="43" spans="1:7" ht="30" x14ac:dyDescent="0.25">
      <c r="A43" s="163" t="s">
        <v>535</v>
      </c>
      <c r="B43" s="161">
        <f>IFERROR('Datos Generales'!E46/'Datos Generales'!$F$23,"")</f>
        <v>0</v>
      </c>
      <c r="C43" s="161">
        <f>IFERROR('Datos Generales'!E63/'Datos Generales'!$F$23,"")</f>
        <v>0</v>
      </c>
      <c r="D43" s="161">
        <f>IFERROR('Datos Generales'!E80/'Datos Generales'!$F$23,"")</f>
        <v>0</v>
      </c>
      <c r="E43" s="161">
        <f>IFERROR('Datos Generales'!E97/'Datos Generales'!$F$23,"")</f>
        <v>0</v>
      </c>
      <c r="F43" s="161">
        <f>IFERROR('Datos Generales'!E114/'Datos Generales'!$F$23,"")</f>
        <v>0</v>
      </c>
      <c r="G43" s="161">
        <f>IFERROR('Datos Generales'!E131/'Datos Generales'!$F$23,"")</f>
        <v>0</v>
      </c>
    </row>
    <row r="44" spans="1:7" ht="30" x14ac:dyDescent="0.25">
      <c r="A44" s="163" t="s">
        <v>535</v>
      </c>
      <c r="B44" s="161">
        <f>IFERROR('Datos Generales'!E47/'Datos Generales'!$F$23,"")</f>
        <v>0</v>
      </c>
      <c r="C44" s="161">
        <f>IFERROR('Datos Generales'!E64/'Datos Generales'!$F$23,"")</f>
        <v>0</v>
      </c>
      <c r="D44" s="161">
        <f>IFERROR('Datos Generales'!E81/'Datos Generales'!$F$23,"")</f>
        <v>0</v>
      </c>
      <c r="E44" s="161">
        <f>IFERROR('Datos Generales'!E98/'Datos Generales'!$F$23,"")</f>
        <v>0</v>
      </c>
      <c r="F44" s="161">
        <f>IFERROR('Datos Generales'!E115/'Datos Generales'!$F$23,"")</f>
        <v>0</v>
      </c>
      <c r="G44" s="161">
        <f>IFERROR('Datos Generales'!E132/'Datos Generales'!$F$23,"")</f>
        <v>0</v>
      </c>
    </row>
    <row r="46" spans="1:7" x14ac:dyDescent="0.25">
      <c r="D46" s="162" t="s">
        <v>542</v>
      </c>
    </row>
    <row r="47" spans="1:7" x14ac:dyDescent="0.25">
      <c r="D47" s="162" t="s">
        <v>534</v>
      </c>
      <c r="E47" s="162" t="s">
        <v>532</v>
      </c>
      <c r="F47" s="162" t="s">
        <v>533</v>
      </c>
    </row>
    <row r="48" spans="1:7" x14ac:dyDescent="0.25">
      <c r="A48" s="162" t="s">
        <v>527</v>
      </c>
      <c r="B48" s="164">
        <f>VALUE(MID('Descripcion Actividades'!C29,1,1))</f>
        <v>3</v>
      </c>
      <c r="D48" s="158">
        <v>1</v>
      </c>
      <c r="E48" s="158">
        <v>1</v>
      </c>
      <c r="F48" s="158">
        <v>2</v>
      </c>
    </row>
    <row r="49" spans="1:10" x14ac:dyDescent="0.25">
      <c r="D49" s="158">
        <v>2</v>
      </c>
      <c r="E49" s="158">
        <v>2</v>
      </c>
      <c r="F49" s="158">
        <v>5</v>
      </c>
    </row>
    <row r="50" spans="1:10" x14ac:dyDescent="0.25">
      <c r="A50" s="162" t="s">
        <v>529</v>
      </c>
      <c r="B50" s="158">
        <f>VLOOKUP(B48,D48:E51,2)</f>
        <v>5</v>
      </c>
      <c r="D50" s="158">
        <v>3</v>
      </c>
      <c r="E50" s="158">
        <v>5</v>
      </c>
      <c r="F50" s="158">
        <v>20</v>
      </c>
    </row>
    <row r="51" spans="1:10" x14ac:dyDescent="0.25">
      <c r="D51" s="158">
        <v>4</v>
      </c>
      <c r="E51" s="158">
        <v>20</v>
      </c>
      <c r="F51" s="158"/>
    </row>
    <row r="52" spans="1:10" ht="30" x14ac:dyDescent="0.25">
      <c r="A52" s="162" t="s">
        <v>530</v>
      </c>
      <c r="B52" s="165">
        <f>B50*'Datos Generales'!L21*1.5*1.5</f>
        <v>16014375</v>
      </c>
    </row>
    <row r="53" spans="1:10" ht="30" x14ac:dyDescent="0.25">
      <c r="A53" s="162" t="s">
        <v>531</v>
      </c>
      <c r="B53" s="166">
        <f>B50*'Datos Generales'!L21*'Datos Generales'!L17*1.5*1.5</f>
        <v>160143750</v>
      </c>
    </row>
    <row r="54" spans="1:10" x14ac:dyDescent="0.25">
      <c r="B54" s="167"/>
    </row>
    <row r="55" spans="1:10" ht="30" x14ac:dyDescent="0.25">
      <c r="A55" s="162" t="s">
        <v>544</v>
      </c>
      <c r="B55" s="168">
        <f>VALUE(MID('Descripcion Actividades'!C40,1,1))</f>
        <v>4</v>
      </c>
      <c r="D55" s="162" t="s">
        <v>543</v>
      </c>
      <c r="E55" s="169">
        <f>'Datos Generales'!L21/30</f>
        <v>47450</v>
      </c>
    </row>
    <row r="56" spans="1:10" x14ac:dyDescent="0.25">
      <c r="B56" s="167"/>
      <c r="D56" s="162" t="s">
        <v>534</v>
      </c>
      <c r="E56" s="162" t="s">
        <v>532</v>
      </c>
      <c r="F56" s="162" t="s">
        <v>533</v>
      </c>
    </row>
    <row r="57" spans="1:10" ht="30" x14ac:dyDescent="0.25">
      <c r="A57" s="162" t="s">
        <v>545</v>
      </c>
      <c r="B57" s="170">
        <f>VLOOKUP(B55,D57:E60,2)</f>
        <v>20</v>
      </c>
      <c r="D57" s="158">
        <v>1</v>
      </c>
      <c r="E57" s="158">
        <v>1</v>
      </c>
      <c r="F57" s="158">
        <v>2</v>
      </c>
    </row>
    <row r="58" spans="1:10" x14ac:dyDescent="0.25">
      <c r="B58" s="167"/>
      <c r="D58" s="158">
        <v>2</v>
      </c>
      <c r="E58" s="158">
        <v>2</v>
      </c>
      <c r="F58" s="158">
        <v>5</v>
      </c>
    </row>
    <row r="59" spans="1:10" ht="30" x14ac:dyDescent="0.25">
      <c r="A59" s="162" t="s">
        <v>546</v>
      </c>
      <c r="B59" s="171">
        <f>B57*E55*30*1.2</f>
        <v>34164000</v>
      </c>
      <c r="D59" s="158">
        <v>3</v>
      </c>
      <c r="E59" s="158">
        <v>5</v>
      </c>
      <c r="F59" s="158">
        <v>20</v>
      </c>
    </row>
    <row r="60" spans="1:10" ht="30" x14ac:dyDescent="0.25">
      <c r="A60" s="162" t="s">
        <v>547</v>
      </c>
      <c r="B60" s="172">
        <f>B59*'Datos Generales'!L17</f>
        <v>341640000</v>
      </c>
      <c r="D60" s="158">
        <v>4</v>
      </c>
      <c r="E60" s="158">
        <v>20</v>
      </c>
      <c r="F60" s="158"/>
    </row>
    <row r="63" spans="1:10" ht="45" x14ac:dyDescent="0.25">
      <c r="A63" s="162" t="s">
        <v>548</v>
      </c>
      <c r="B63" s="173">
        <f>VALUE(MID('Descripcion Actividades'!C63,1,1))*VALUE(MID('Descripcion Actividades'!C65,1,1))*VALUE(MID('Descripcion Actividades'!C67,1,1))</f>
        <v>1</v>
      </c>
      <c r="D63" s="162" t="s">
        <v>549</v>
      </c>
      <c r="E63" s="169"/>
      <c r="G63" s="162" t="s">
        <v>551</v>
      </c>
      <c r="H63" s="159">
        <f>VALUE(MID('Datos Generales'!C19,1,1))</f>
        <v>2</v>
      </c>
      <c r="I63" s="162" t="s">
        <v>534</v>
      </c>
      <c r="J63" s="162" t="s">
        <v>558</v>
      </c>
    </row>
    <row r="64" spans="1:10" ht="30" x14ac:dyDescent="0.25">
      <c r="A64" s="162" t="s">
        <v>550</v>
      </c>
      <c r="B64" s="174">
        <f>IF(B63&lt;=F65,D65,IF(B63&lt;=F66,D66,IF(B63&lt;=F67,D67,D68)))*VLOOKUP(H63,I64:J68,2)</f>
        <v>1E-3</v>
      </c>
      <c r="D64" s="162" t="s">
        <v>534</v>
      </c>
      <c r="E64" s="162" t="s">
        <v>532</v>
      </c>
      <c r="F64" s="162" t="s">
        <v>533</v>
      </c>
      <c r="I64" s="175">
        <v>1</v>
      </c>
      <c r="J64" s="176">
        <v>0.7</v>
      </c>
    </row>
    <row r="65" spans="1:10" x14ac:dyDescent="0.25">
      <c r="B65" s="177">
        <f>B64*B31*(1+B71)</f>
        <v>199774.40457000001</v>
      </c>
      <c r="D65" s="178">
        <v>0.01</v>
      </c>
      <c r="E65" s="158">
        <v>1</v>
      </c>
      <c r="F65" s="158">
        <v>3</v>
      </c>
      <c r="I65" s="175">
        <v>2</v>
      </c>
      <c r="J65" s="176">
        <v>0.1</v>
      </c>
    </row>
    <row r="66" spans="1:10" x14ac:dyDescent="0.25">
      <c r="D66" s="178">
        <v>0.03</v>
      </c>
      <c r="E66" s="158">
        <v>3</v>
      </c>
      <c r="F66" s="158">
        <v>8</v>
      </c>
      <c r="I66" s="175">
        <v>3</v>
      </c>
      <c r="J66" s="176">
        <v>0.1</v>
      </c>
    </row>
    <row r="67" spans="1:10" x14ac:dyDescent="0.25">
      <c r="D67" s="178">
        <v>0.05</v>
      </c>
      <c r="E67" s="158">
        <v>8</v>
      </c>
      <c r="F67" s="158">
        <v>15</v>
      </c>
      <c r="I67" s="175">
        <v>4</v>
      </c>
      <c r="J67" s="176">
        <v>0.8</v>
      </c>
    </row>
    <row r="68" spans="1:10" x14ac:dyDescent="0.25">
      <c r="D68" s="178">
        <v>0.1</v>
      </c>
      <c r="E68" s="158">
        <v>15</v>
      </c>
      <c r="F68" s="158">
        <v>36</v>
      </c>
      <c r="I68" s="175">
        <v>5</v>
      </c>
      <c r="J68" s="176">
        <v>0.8</v>
      </c>
    </row>
    <row r="70" spans="1:10" ht="45" x14ac:dyDescent="0.25">
      <c r="A70" s="162" t="s">
        <v>555</v>
      </c>
      <c r="B70" s="173">
        <f>VALUE(MID('Descripcion Actividades'!C73,1,1))</f>
        <v>1</v>
      </c>
      <c r="C70" s="175">
        <f>VALUE(MID(Contexto!C40,1,1))</f>
        <v>3</v>
      </c>
      <c r="D70" s="162" t="s">
        <v>554</v>
      </c>
    </row>
    <row r="71" spans="1:10" ht="45" x14ac:dyDescent="0.25">
      <c r="A71" s="162" t="s">
        <v>556</v>
      </c>
      <c r="B71" s="179">
        <f>VLOOKUP(C70,D72:E75,2)*VLOOKUP(B70,I72:J76,2)*B13</f>
        <v>6.9999999999999993E-2</v>
      </c>
      <c r="C71" s="180"/>
      <c r="D71" s="162" t="s">
        <v>534</v>
      </c>
      <c r="E71" s="162" t="s">
        <v>532</v>
      </c>
      <c r="F71" s="162" t="s">
        <v>533</v>
      </c>
      <c r="I71" s="162" t="s">
        <v>534</v>
      </c>
      <c r="J71" s="162" t="s">
        <v>558</v>
      </c>
    </row>
    <row r="72" spans="1:10" x14ac:dyDescent="0.25">
      <c r="D72" s="158">
        <v>1</v>
      </c>
      <c r="E72" s="178">
        <v>0</v>
      </c>
      <c r="F72" s="178">
        <v>0.01</v>
      </c>
      <c r="I72" s="175">
        <v>1</v>
      </c>
      <c r="J72" s="176">
        <v>0.7</v>
      </c>
    </row>
    <row r="73" spans="1:10" x14ac:dyDescent="0.25">
      <c r="D73" s="158">
        <v>2</v>
      </c>
      <c r="E73" s="178">
        <v>0.01</v>
      </c>
      <c r="F73" s="178">
        <v>0.05</v>
      </c>
      <c r="I73" s="175">
        <v>2</v>
      </c>
      <c r="J73" s="176">
        <v>0.1</v>
      </c>
    </row>
    <row r="74" spans="1:10" x14ac:dyDescent="0.25">
      <c r="D74" s="158">
        <v>3</v>
      </c>
      <c r="E74" s="178">
        <v>0.05</v>
      </c>
      <c r="F74" s="178">
        <v>0.15</v>
      </c>
      <c r="I74" s="175">
        <v>3</v>
      </c>
      <c r="J74" s="176">
        <v>0.1</v>
      </c>
    </row>
    <row r="75" spans="1:10" x14ac:dyDescent="0.25">
      <c r="D75" s="158">
        <v>4</v>
      </c>
      <c r="E75" s="178">
        <v>0.15</v>
      </c>
      <c r="F75" s="158"/>
      <c r="I75" s="175">
        <v>4</v>
      </c>
      <c r="J75" s="176">
        <v>0.8</v>
      </c>
    </row>
    <row r="76" spans="1:10" x14ac:dyDescent="0.25">
      <c r="I76" s="175">
        <v>5</v>
      </c>
      <c r="J76" s="176">
        <v>0.8</v>
      </c>
    </row>
    <row r="77" spans="1:10" ht="45" x14ac:dyDescent="0.25">
      <c r="A77" s="162" t="s">
        <v>552</v>
      </c>
      <c r="B77" s="173">
        <f>VALUE(MID('Descripcion Actividades'!C118,1,1))</f>
        <v>2</v>
      </c>
      <c r="D77" s="162" t="s">
        <v>557</v>
      </c>
      <c r="E77" s="181">
        <f>'Datos Generales'!L21</f>
        <v>1423500</v>
      </c>
    </row>
    <row r="78" spans="1:10" ht="45" x14ac:dyDescent="0.25">
      <c r="A78" s="162" t="s">
        <v>553</v>
      </c>
      <c r="B78" s="182">
        <f>VLOOKUP(B77,D79:F82,3)</f>
        <v>400000</v>
      </c>
      <c r="D78" s="162" t="s">
        <v>534</v>
      </c>
      <c r="E78" s="162" t="s">
        <v>532</v>
      </c>
      <c r="F78" s="162" t="s">
        <v>533</v>
      </c>
      <c r="G78" s="162" t="s">
        <v>559</v>
      </c>
      <c r="H78" s="162" t="s">
        <v>560</v>
      </c>
    </row>
    <row r="79" spans="1:10" x14ac:dyDescent="0.25">
      <c r="D79" s="158">
        <v>1</v>
      </c>
      <c r="E79" s="158">
        <v>0</v>
      </c>
      <c r="F79" s="183">
        <f>G79*H79</f>
        <v>30</v>
      </c>
      <c r="G79" s="158">
        <v>30</v>
      </c>
      <c r="H79" s="184">
        <v>1</v>
      </c>
    </row>
    <row r="80" spans="1:10" x14ac:dyDescent="0.25">
      <c r="D80" s="158">
        <v>2</v>
      </c>
      <c r="E80" s="183">
        <f>F79</f>
        <v>30</v>
      </c>
      <c r="F80" s="183">
        <f>G80*H80</f>
        <v>400000</v>
      </c>
      <c r="G80" s="158">
        <v>20</v>
      </c>
      <c r="H80" s="184">
        <v>20000</v>
      </c>
    </row>
    <row r="81" spans="1:8" x14ac:dyDescent="0.25">
      <c r="D81" s="158">
        <v>3</v>
      </c>
      <c r="E81" s="183">
        <f>F80</f>
        <v>400000</v>
      </c>
      <c r="F81" s="183">
        <f>G81*H81</f>
        <v>21352500</v>
      </c>
      <c r="G81" s="158">
        <v>10</v>
      </c>
      <c r="H81" s="183">
        <f>E77*1.5</f>
        <v>2135250</v>
      </c>
    </row>
    <row r="82" spans="1:8" x14ac:dyDescent="0.25">
      <c r="D82" s="158">
        <v>4</v>
      </c>
      <c r="E82" s="183">
        <f>F81</f>
        <v>21352500</v>
      </c>
      <c r="F82" s="183">
        <f>G82*H82</f>
        <v>71175000</v>
      </c>
      <c r="G82" s="158">
        <v>5</v>
      </c>
      <c r="H82" s="160">
        <f>E77*10</f>
        <v>14235000</v>
      </c>
    </row>
    <row r="84" spans="1:8" ht="15.75" thickBot="1" x14ac:dyDescent="0.3">
      <c r="B84" s="134">
        <v>1</v>
      </c>
      <c r="C84" s="134">
        <v>2</v>
      </c>
      <c r="D84" s="185">
        <v>3</v>
      </c>
      <c r="E84" s="134">
        <v>4</v>
      </c>
      <c r="F84" s="134">
        <v>5</v>
      </c>
      <c r="G84" s="185">
        <v>6</v>
      </c>
    </row>
    <row r="85" spans="1:8" ht="16.5" thickTop="1" thickBot="1" x14ac:dyDescent="0.3">
      <c r="A85" s="186" t="s">
        <v>561</v>
      </c>
      <c r="B85" s="162" t="s">
        <v>536</v>
      </c>
      <c r="C85" s="162" t="s">
        <v>537</v>
      </c>
      <c r="D85" s="162" t="s">
        <v>538</v>
      </c>
      <c r="E85" s="162" t="s">
        <v>539</v>
      </c>
      <c r="F85" s="162" t="s">
        <v>540</v>
      </c>
      <c r="G85" s="162" t="s">
        <v>541</v>
      </c>
    </row>
    <row r="86" spans="1:8" ht="31.5" thickTop="1" thickBot="1" x14ac:dyDescent="0.3">
      <c r="A86" s="163" t="s">
        <v>535</v>
      </c>
      <c r="B86" s="187">
        <f>IF(B31=0,0,IF(($B$52+$B$59+$B$65+$B$78)*$B$13&gt;B31,B31,($B$52+$B$59+$B$65+$B$78)*$B$13))</f>
        <v>101556298.80914</v>
      </c>
      <c r="C86" s="187">
        <f>IF(C31=0,0,IF(($B$52+$B$59+$B$65+$B$78)*$B$14&gt;C31,C31,($B$52+$B$59+$B$65+$B$78)*$B$14))</f>
        <v>101556298.80914</v>
      </c>
      <c r="D86" s="187">
        <f>IF(D31=0,0,IF(($B$52+$B$59+$B$65+$B$78)*$B$15&gt;D31,D31,($B$52+$B$59+$B$65+$B$78)*$B$15))</f>
        <v>0</v>
      </c>
      <c r="E86" s="187">
        <f>IF(E31=0,0,IF(($B$52+$B$59+$B$65+$B$78)*$B$16&gt;E31,E31,($B$52+$B$59+$B$65+$B$78)*$B$16))</f>
        <v>0</v>
      </c>
      <c r="F86" s="187">
        <f>IF(F31=0,0,IF(($B$52+$B$59+$B$65+$B$78)*$B$17&gt;F31,F31,($B$52+$B$59+$B$65+$B$78)*$B$17))</f>
        <v>0</v>
      </c>
      <c r="G86" s="187">
        <f>IF(G31=0,0,IF(($B$52+$B$59+$B$65+$B$78)*$B$18&gt;G31,G31,($B$52+$B$59+$B$65+$B$78)*$B$18))</f>
        <v>0</v>
      </c>
    </row>
    <row r="87" spans="1:8" ht="30.75" thickTop="1" x14ac:dyDescent="0.25">
      <c r="A87" s="163" t="s">
        <v>535</v>
      </c>
      <c r="B87" s="134">
        <f>IF(B32=0,0,IF(($B$52+$B$59+$B$65+$B$78)*$B$13&gt;B32,B32,($B$52+$B$59+$B$65+$B$78)*$B$13))</f>
        <v>46676262.75</v>
      </c>
      <c r="C87" s="134">
        <f>IF(C32=0,0,IF(($B$52+$B$59+$B$65+$B$78)*$B$14&gt;C32,C32,($B$52+$B$59+$B$65+$B$78)*$B$14))</f>
        <v>93352525.5</v>
      </c>
      <c r="D87" s="134">
        <f>IF(D32=0,0,IF(($B$52+$B$59+$B$65+$B$78)*$B$15&gt;D32,D32,($B$52+$B$59+$B$65+$B$78)*$B$15))</f>
        <v>0</v>
      </c>
      <c r="E87" s="134">
        <f>IF(E32=0,0,IF(($B$52+$B$59+$B$65+$B$78)*$B$16&gt;E32,E32,($B$52+$B$59+$B$65+$B$78)*$B$16))</f>
        <v>0</v>
      </c>
      <c r="F87" s="134">
        <f>IF(F32=0,0,IF(($B$52+$B$59+$B$65+$B$78)*$B$17&gt;F32,F32,($B$52+$B$59+$B$65+$B$78)*$B$17))</f>
        <v>0</v>
      </c>
      <c r="G87" s="134">
        <f>IF(G32=0,0,IF(($B$52+$B$59+$B$65+$B$78)*$B$18&gt;G32,G32,($B$52+$B$59+$B$65+$B$78)*$B$18))</f>
        <v>0</v>
      </c>
    </row>
    <row r="88" spans="1:8" ht="30" x14ac:dyDescent="0.25">
      <c r="A88" s="163" t="s">
        <v>535</v>
      </c>
      <c r="B88" s="134">
        <f>IF(B33=0,0,IF(($B$52+$B$59+$B$65+$B$78)*$B$13&gt;$B33,B33,($B$52+$B$59+$B$65+$B$78)*$B$13))</f>
        <v>0</v>
      </c>
      <c r="C88" s="134">
        <f>IF(C33=0,0,IF(($B$52+$B$59+$B$65+$B$78)*$B$14&gt;$B33,C33,($B$52+$B$59+$B$65+$B$78)*$B$14))</f>
        <v>0</v>
      </c>
      <c r="D88" s="134">
        <f>IF(D33=0,0,IF(($B$52+$B$59+$B$65+$B$78)*$B$15&gt;$B33,D33,($B$52+$B$59+$B$65+$B$78)*$B$15))</f>
        <v>0</v>
      </c>
      <c r="E88" s="134">
        <f>IF(E33=0,0,IF(($B$52+$B$59+$B$65+$B$78)*$B$16&gt;$B33,E33,($B$52+$B$59+$B$65+$B$78)*$B$16))</f>
        <v>0</v>
      </c>
      <c r="F88" s="134">
        <f>IF(F33=0,0,IF(($B$52+$B$59+$B$65+$B$78)*$B$17&gt;$B33,F33,($B$52+$B$59+$B$65+$B$78)*$B$17))</f>
        <v>0</v>
      </c>
      <c r="G88" s="134">
        <f>IF(G33=0,0,IF(($B$52+$B$59+$B$65+$B$78)*$B$18&gt;$B33,G33,($B$52+$B$59+$B$65+$B$78)*$B$18))</f>
        <v>0</v>
      </c>
    </row>
    <row r="89" spans="1:8" ht="30" x14ac:dyDescent="0.25">
      <c r="A89" s="163" t="s">
        <v>535</v>
      </c>
      <c r="B89" s="134">
        <f t="shared" ref="B89:B99" si="0">IF(B34=0,0,IF(($B$52+$B$59+$B$65+$B$78)*$B$13&gt;B34,B34,($B$52+$B$59+$B$65+$B$78)*$B$13))</f>
        <v>0</v>
      </c>
      <c r="C89" s="134">
        <f t="shared" ref="C89:C99" si="1">IF(C34=0,0,IF(($B$52+$B$59+$B$65+$B$78)*$B$14&gt;C34,C34,($B$52+$B$59+$B$65+$B$78)*$B$14))</f>
        <v>0</v>
      </c>
      <c r="D89" s="134">
        <f t="shared" ref="D89:D99" si="2">IF(D34=0,0,IF(($B$52+$B$59+$B$65+$B$78)*$B$15&gt;D34,D34,($B$52+$B$59+$B$65+$B$78)*$B$15))</f>
        <v>0</v>
      </c>
      <c r="E89" s="134">
        <f t="shared" ref="E89:E99" si="3">IF(E34=0,0,IF(($B$52+$B$59+$B$65+$B$78)*$B$16&gt;E34,E34,($B$52+$B$59+$B$65+$B$78)*$B$16))</f>
        <v>0</v>
      </c>
      <c r="F89" s="134">
        <f t="shared" ref="F89:F99" si="4">IF(F34=0,0,IF(($B$52+$B$59+$B$65+$B$78)*$B$17&gt;F34,F34,($B$52+$B$59+$B$65+$B$78)*$B$17))</f>
        <v>0</v>
      </c>
      <c r="G89" s="134">
        <f t="shared" ref="G89:G99" si="5">IF(G34=0,0,IF(($B$52+$B$59+$B$65+$B$78)*$B$18&gt;G34,G34,($B$52+$B$59+$B$65+$B$78)*$B$18))</f>
        <v>0</v>
      </c>
    </row>
    <row r="90" spans="1:8" ht="30" x14ac:dyDescent="0.25">
      <c r="A90" s="163" t="s">
        <v>535</v>
      </c>
      <c r="B90" s="134">
        <f t="shared" si="0"/>
        <v>0</v>
      </c>
      <c r="C90" s="134">
        <f t="shared" si="1"/>
        <v>0</v>
      </c>
      <c r="D90" s="134">
        <f t="shared" si="2"/>
        <v>0</v>
      </c>
      <c r="E90" s="134">
        <f t="shared" si="3"/>
        <v>0</v>
      </c>
      <c r="F90" s="134">
        <f t="shared" si="4"/>
        <v>0</v>
      </c>
      <c r="G90" s="134">
        <f t="shared" si="5"/>
        <v>0</v>
      </c>
    </row>
    <row r="91" spans="1:8" ht="30" x14ac:dyDescent="0.25">
      <c r="A91" s="163" t="s">
        <v>535</v>
      </c>
      <c r="B91" s="134">
        <f t="shared" si="0"/>
        <v>0</v>
      </c>
      <c r="C91" s="134">
        <f t="shared" si="1"/>
        <v>0</v>
      </c>
      <c r="D91" s="134">
        <f t="shared" si="2"/>
        <v>0</v>
      </c>
      <c r="E91" s="134">
        <f t="shared" si="3"/>
        <v>0</v>
      </c>
      <c r="F91" s="134">
        <f t="shared" si="4"/>
        <v>0</v>
      </c>
      <c r="G91" s="134">
        <f t="shared" si="5"/>
        <v>0</v>
      </c>
    </row>
    <row r="92" spans="1:8" ht="30" x14ac:dyDescent="0.25">
      <c r="A92" s="163" t="s">
        <v>535</v>
      </c>
      <c r="B92" s="134">
        <f t="shared" si="0"/>
        <v>0</v>
      </c>
      <c r="C92" s="134">
        <f t="shared" si="1"/>
        <v>0</v>
      </c>
      <c r="D92" s="134">
        <f t="shared" si="2"/>
        <v>0</v>
      </c>
      <c r="E92" s="134">
        <f t="shared" si="3"/>
        <v>0</v>
      </c>
      <c r="F92" s="134">
        <f t="shared" si="4"/>
        <v>0</v>
      </c>
      <c r="G92" s="134">
        <f t="shared" si="5"/>
        <v>0</v>
      </c>
    </row>
    <row r="93" spans="1:8" ht="30" x14ac:dyDescent="0.25">
      <c r="A93" s="163" t="s">
        <v>535</v>
      </c>
      <c r="B93" s="134">
        <f t="shared" si="0"/>
        <v>0</v>
      </c>
      <c r="C93" s="134">
        <f t="shared" si="1"/>
        <v>0</v>
      </c>
      <c r="D93" s="134">
        <f t="shared" si="2"/>
        <v>0</v>
      </c>
      <c r="E93" s="134">
        <f t="shared" si="3"/>
        <v>0</v>
      </c>
      <c r="F93" s="134">
        <f t="shared" si="4"/>
        <v>0</v>
      </c>
      <c r="G93" s="134">
        <f t="shared" si="5"/>
        <v>0</v>
      </c>
    </row>
    <row r="94" spans="1:8" ht="30" x14ac:dyDescent="0.25">
      <c r="A94" s="163" t="s">
        <v>535</v>
      </c>
      <c r="B94" s="134">
        <f t="shared" si="0"/>
        <v>0</v>
      </c>
      <c r="C94" s="134">
        <f t="shared" si="1"/>
        <v>0</v>
      </c>
      <c r="D94" s="134">
        <f t="shared" si="2"/>
        <v>0</v>
      </c>
      <c r="E94" s="134">
        <f t="shared" si="3"/>
        <v>0</v>
      </c>
      <c r="F94" s="134">
        <f t="shared" si="4"/>
        <v>0</v>
      </c>
      <c r="G94" s="134">
        <f t="shared" si="5"/>
        <v>0</v>
      </c>
    </row>
    <row r="95" spans="1:8" ht="30" x14ac:dyDescent="0.25">
      <c r="A95" s="163" t="s">
        <v>535</v>
      </c>
      <c r="B95" s="134">
        <f t="shared" si="0"/>
        <v>0</v>
      </c>
      <c r="C95" s="134">
        <f t="shared" si="1"/>
        <v>0</v>
      </c>
      <c r="D95" s="134">
        <f t="shared" si="2"/>
        <v>0</v>
      </c>
      <c r="E95" s="134">
        <f t="shared" si="3"/>
        <v>0</v>
      </c>
      <c r="F95" s="134">
        <f t="shared" si="4"/>
        <v>0</v>
      </c>
      <c r="G95" s="134">
        <f t="shared" si="5"/>
        <v>0</v>
      </c>
    </row>
    <row r="96" spans="1:8" ht="30" x14ac:dyDescent="0.25">
      <c r="A96" s="163" t="s">
        <v>535</v>
      </c>
      <c r="B96" s="134">
        <f t="shared" si="0"/>
        <v>0</v>
      </c>
      <c r="C96" s="134">
        <f t="shared" si="1"/>
        <v>0</v>
      </c>
      <c r="D96" s="134">
        <f t="shared" si="2"/>
        <v>0</v>
      </c>
      <c r="E96" s="134">
        <f t="shared" si="3"/>
        <v>0</v>
      </c>
      <c r="F96" s="134">
        <f t="shared" si="4"/>
        <v>0</v>
      </c>
      <c r="G96" s="134">
        <f t="shared" si="5"/>
        <v>0</v>
      </c>
    </row>
    <row r="97" spans="1:7" ht="30" x14ac:dyDescent="0.25">
      <c r="A97" s="163" t="s">
        <v>535</v>
      </c>
      <c r="B97" s="134">
        <f t="shared" si="0"/>
        <v>0</v>
      </c>
      <c r="C97" s="134">
        <f t="shared" si="1"/>
        <v>0</v>
      </c>
      <c r="D97" s="134">
        <f t="shared" si="2"/>
        <v>0</v>
      </c>
      <c r="E97" s="134">
        <f t="shared" si="3"/>
        <v>0</v>
      </c>
      <c r="F97" s="134">
        <f t="shared" si="4"/>
        <v>0</v>
      </c>
      <c r="G97" s="134">
        <f t="shared" si="5"/>
        <v>0</v>
      </c>
    </row>
    <row r="98" spans="1:7" ht="30" x14ac:dyDescent="0.25">
      <c r="A98" s="163" t="s">
        <v>535</v>
      </c>
      <c r="B98" s="134">
        <f t="shared" si="0"/>
        <v>0</v>
      </c>
      <c r="C98" s="134">
        <f t="shared" si="1"/>
        <v>0</v>
      </c>
      <c r="D98" s="134">
        <f t="shared" si="2"/>
        <v>0</v>
      </c>
      <c r="E98" s="134">
        <f t="shared" si="3"/>
        <v>0</v>
      </c>
      <c r="F98" s="134">
        <f t="shared" si="4"/>
        <v>0</v>
      </c>
      <c r="G98" s="134">
        <f t="shared" si="5"/>
        <v>0</v>
      </c>
    </row>
    <row r="99" spans="1:7" ht="30" x14ac:dyDescent="0.25">
      <c r="A99" s="163" t="s">
        <v>535</v>
      </c>
      <c r="B99" s="134">
        <f t="shared" si="0"/>
        <v>0</v>
      </c>
      <c r="C99" s="134">
        <f t="shared" si="1"/>
        <v>0</v>
      </c>
      <c r="D99" s="134">
        <f t="shared" si="2"/>
        <v>0</v>
      </c>
      <c r="E99" s="134">
        <f t="shared" si="3"/>
        <v>0</v>
      </c>
      <c r="F99" s="134">
        <f t="shared" si="4"/>
        <v>0</v>
      </c>
      <c r="G99" s="134">
        <f t="shared" si="5"/>
        <v>0</v>
      </c>
    </row>
    <row r="101" spans="1:7" x14ac:dyDescent="0.25">
      <c r="B101" s="162" t="s">
        <v>536</v>
      </c>
      <c r="C101" s="162" t="s">
        <v>537</v>
      </c>
      <c r="D101" s="162" t="s">
        <v>538</v>
      </c>
      <c r="E101" s="162" t="s">
        <v>539</v>
      </c>
      <c r="F101" s="162" t="s">
        <v>540</v>
      </c>
      <c r="G101" s="162" t="s">
        <v>541</v>
      </c>
    </row>
    <row r="102" spans="1:7" ht="30" x14ac:dyDescent="0.25">
      <c r="A102" s="163" t="s">
        <v>535</v>
      </c>
      <c r="B102" s="180" t="str">
        <f>IF(B86&lt;='cap.7 - analisis riesgos'!J15,'cap.7 - analisis riesgos'!H15,IF(Valimpacto!B86&lt;='cap.7 - analisis riesgos'!J16,'cap.7 - analisis riesgos'!H16,IF(Valimpacto!B86&lt;='cap.7 - analisis riesgos'!J17,'cap.7 - analisis riesgos'!H17,IF(Valimpacto!B86&lt;='cap.7 - analisis riesgos'!J18,'cap.7 - analisis riesgos'!H18,'cap.7 - analisis riesgos'!H19))))</f>
        <v>Moderado</v>
      </c>
    </row>
    <row r="103" spans="1:7" ht="30" x14ac:dyDescent="0.25">
      <c r="A103" s="163" t="s">
        <v>535</v>
      </c>
    </row>
    <row r="104" spans="1:7" ht="30" x14ac:dyDescent="0.25">
      <c r="A104" s="163" t="s">
        <v>535</v>
      </c>
    </row>
    <row r="105" spans="1:7" ht="30" x14ac:dyDescent="0.25">
      <c r="A105" s="163" t="s">
        <v>535</v>
      </c>
    </row>
    <row r="106" spans="1:7" ht="30" x14ac:dyDescent="0.25">
      <c r="A106" s="163" t="s">
        <v>535</v>
      </c>
    </row>
    <row r="107" spans="1:7" ht="30" x14ac:dyDescent="0.25">
      <c r="A107" s="163" t="s">
        <v>535</v>
      </c>
    </row>
    <row r="108" spans="1:7" ht="30" x14ac:dyDescent="0.25">
      <c r="A108" s="163" t="s">
        <v>535</v>
      </c>
    </row>
    <row r="109" spans="1:7" ht="30" x14ac:dyDescent="0.25">
      <c r="A109" s="163" t="s">
        <v>535</v>
      </c>
    </row>
    <row r="110" spans="1:7" ht="30" x14ac:dyDescent="0.25">
      <c r="A110" s="163" t="s">
        <v>535</v>
      </c>
    </row>
    <row r="111" spans="1:7" ht="30" x14ac:dyDescent="0.25">
      <c r="A111" s="163" t="s">
        <v>535</v>
      </c>
    </row>
    <row r="112" spans="1:7" ht="30" x14ac:dyDescent="0.25">
      <c r="A112" s="163" t="s">
        <v>535</v>
      </c>
    </row>
    <row r="113" spans="1:1" ht="30" x14ac:dyDescent="0.25">
      <c r="A113" s="163" t="s">
        <v>535</v>
      </c>
    </row>
    <row r="114" spans="1:1" ht="30" x14ac:dyDescent="0.25">
      <c r="A114" s="163" t="s">
        <v>535</v>
      </c>
    </row>
    <row r="115" spans="1:1" ht="30" x14ac:dyDescent="0.25">
      <c r="A115" s="163" t="s">
        <v>535</v>
      </c>
    </row>
  </sheetData>
  <sheetProtection algorithmName="SHA-512" hashValue="nLQonmyMBjGYMVj3iiBrS3iL41t3yE4FIaxVyIm5BLFugwtUO2pclq1xN1S56gqsSH6Ynj3R5JG0VjtgvlR4/w==" saltValue="NY/xh6fpWXgOxJLg3Jn8HA==" spinCount="100000" sheet="1"/>
  <phoneticPr fontId="18"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90"/>
  <sheetViews>
    <sheetView tabSelected="1" topLeftCell="A119" zoomScale="70" zoomScaleNormal="70" workbookViewId="0">
      <selection activeCell="H177" sqref="H177"/>
    </sheetView>
  </sheetViews>
  <sheetFormatPr baseColWidth="10" defaultColWidth="11.42578125" defaultRowHeight="15" x14ac:dyDescent="0.25"/>
  <cols>
    <col min="1" max="1" width="5.28515625" style="58" customWidth="1"/>
    <col min="2" max="2" width="31.42578125" style="58" customWidth="1"/>
    <col min="3" max="3" width="26" style="58" customWidth="1"/>
    <col min="4" max="5" width="19.28515625" style="58" customWidth="1"/>
    <col min="6" max="6" width="24.42578125" style="58" customWidth="1"/>
    <col min="7" max="7" width="24.85546875" style="58" customWidth="1"/>
    <col min="8" max="8" width="21" style="58" customWidth="1"/>
    <col min="9" max="9" width="25.7109375" style="58" customWidth="1"/>
    <col min="10" max="10" width="25.7109375" style="104" customWidth="1"/>
    <col min="11" max="11" width="11.42578125" style="104" hidden="1" customWidth="1"/>
    <col min="12" max="12" width="2.140625" style="112" hidden="1" customWidth="1"/>
    <col min="13" max="17" width="9.28515625" style="112" hidden="1" customWidth="1"/>
    <col min="18" max="18" width="11.42578125" style="104" hidden="1" customWidth="1"/>
    <col min="19" max="19" width="11.42578125" style="104"/>
    <col min="20" max="16384" width="11.42578125" style="58"/>
  </cols>
  <sheetData>
    <row r="1" spans="1:26" x14ac:dyDescent="0.25">
      <c r="B1" s="59"/>
      <c r="C1" s="59"/>
    </row>
    <row r="2" spans="1:26" x14ac:dyDescent="0.25">
      <c r="B2" s="59"/>
      <c r="C2" s="59"/>
      <c r="W2" s="104"/>
      <c r="X2" s="104"/>
      <c r="Y2" s="76" t="s">
        <v>563</v>
      </c>
      <c r="Z2" s="104"/>
    </row>
    <row r="3" spans="1:26" x14ac:dyDescent="0.25">
      <c r="B3" s="59"/>
      <c r="C3" s="59"/>
      <c r="W3" s="104"/>
      <c r="X3" s="104"/>
      <c r="Y3" s="76" t="s">
        <v>676</v>
      </c>
      <c r="Z3" s="104"/>
    </row>
    <row r="4" spans="1:26" ht="23.25" x14ac:dyDescent="0.35">
      <c r="C4" s="251" t="s">
        <v>615</v>
      </c>
      <c r="D4" s="252"/>
      <c r="E4" s="252"/>
      <c r="F4" s="253"/>
      <c r="W4" s="104"/>
      <c r="X4" s="104"/>
      <c r="Y4" s="76" t="s">
        <v>829</v>
      </c>
      <c r="Z4" s="104"/>
    </row>
    <row r="5" spans="1:26" x14ac:dyDescent="0.25">
      <c r="B5" s="78"/>
      <c r="C5" s="250" t="str">
        <f>'Datos Generales'!$C$15</f>
        <v>ESTRUCTURACIÓN INTEGRAL PARA LOS ESTUDIOS Y DISEÑOS DE PROYECTOS VIALES PRIORIZADOS POR LA GOBERNACIÓN DEL TOLIMA</v>
      </c>
      <c r="D5" s="250"/>
      <c r="E5" s="250"/>
      <c r="F5" s="250"/>
      <c r="G5" s="61"/>
      <c r="W5" s="104"/>
      <c r="X5" s="104"/>
      <c r="Y5" s="76" t="s">
        <v>830</v>
      </c>
      <c r="Z5" s="104"/>
    </row>
    <row r="6" spans="1:26" x14ac:dyDescent="0.25">
      <c r="B6" s="78"/>
      <c r="C6" s="250"/>
      <c r="D6" s="250"/>
      <c r="E6" s="250"/>
      <c r="F6" s="250"/>
      <c r="G6" s="61"/>
      <c r="W6" s="104"/>
      <c r="X6" s="104"/>
      <c r="Y6" s="76" t="s">
        <v>831</v>
      </c>
      <c r="Z6" s="104"/>
    </row>
    <row r="7" spans="1:26" x14ac:dyDescent="0.25">
      <c r="B7" s="78"/>
      <c r="C7" s="250"/>
      <c r="D7" s="250"/>
      <c r="E7" s="250"/>
      <c r="F7" s="250"/>
      <c r="G7" s="61"/>
      <c r="Y7" s="76" t="s">
        <v>832</v>
      </c>
    </row>
    <row r="8" spans="1:26" x14ac:dyDescent="0.25">
      <c r="B8" s="59"/>
      <c r="C8" s="79"/>
      <c r="D8" s="62"/>
      <c r="E8" s="62"/>
      <c r="F8" s="62"/>
      <c r="Y8" s="76" t="s">
        <v>833</v>
      </c>
    </row>
    <row r="9" spans="1:26" ht="6.75" customHeight="1" x14ac:dyDescent="0.25">
      <c r="B9" s="59"/>
      <c r="C9" s="59"/>
    </row>
    <row r="10" spans="1:26" ht="18.75" x14ac:dyDescent="0.25">
      <c r="A10" s="60"/>
      <c r="B10" s="36" t="s">
        <v>22</v>
      </c>
      <c r="C10" s="12">
        <f>'Datos Generales'!C17</f>
        <v>3111750850</v>
      </c>
      <c r="D10" s="61"/>
      <c r="G10" s="13"/>
      <c r="H10" s="10"/>
      <c r="I10" s="10">
        <v>7.9370052590642102</v>
      </c>
      <c r="J10" s="10">
        <v>7</v>
      </c>
    </row>
    <row r="11" spans="1:26" ht="6.75" customHeight="1" x14ac:dyDescent="0.25">
      <c r="B11" s="62"/>
      <c r="C11" s="62"/>
    </row>
    <row r="12" spans="1:26" x14ac:dyDescent="0.25">
      <c r="A12" s="255" t="s">
        <v>17</v>
      </c>
      <c r="B12" s="256"/>
      <c r="C12" s="256"/>
      <c r="D12" s="256"/>
      <c r="E12" s="257"/>
      <c r="G12" s="255" t="s">
        <v>18</v>
      </c>
      <c r="H12" s="256"/>
      <c r="I12" s="256"/>
      <c r="J12" s="257"/>
    </row>
    <row r="13" spans="1:26" ht="6.75" customHeight="1" x14ac:dyDescent="0.25">
      <c r="A13" s="59"/>
      <c r="B13" s="59"/>
      <c r="C13" s="59"/>
      <c r="D13" s="59"/>
      <c r="E13" s="59"/>
      <c r="G13" s="59"/>
      <c r="H13" s="59"/>
      <c r="I13" s="59"/>
      <c r="J13" s="108"/>
    </row>
    <row r="14" spans="1:26" ht="30" x14ac:dyDescent="0.25">
      <c r="A14" s="36" t="s">
        <v>0</v>
      </c>
      <c r="B14" s="36" t="s">
        <v>1</v>
      </c>
      <c r="C14" s="258" t="s">
        <v>2</v>
      </c>
      <c r="D14" s="258"/>
      <c r="E14" s="258"/>
      <c r="F14" s="61"/>
      <c r="G14" s="8" t="s">
        <v>0</v>
      </c>
      <c r="H14" s="8" t="s">
        <v>1</v>
      </c>
      <c r="I14" s="8" t="s">
        <v>19</v>
      </c>
      <c r="J14" s="119" t="s">
        <v>20</v>
      </c>
      <c r="L14" s="113"/>
      <c r="M14" s="113"/>
      <c r="N14" s="113"/>
      <c r="O14" s="113"/>
      <c r="P14" s="113"/>
      <c r="Q14" s="113"/>
    </row>
    <row r="15" spans="1:26" ht="31.5" customHeight="1" x14ac:dyDescent="0.25">
      <c r="A15" s="2">
        <v>1</v>
      </c>
      <c r="B15" s="3" t="s">
        <v>3</v>
      </c>
      <c r="C15" s="254" t="s">
        <v>4</v>
      </c>
      <c r="D15" s="254"/>
      <c r="E15" s="254"/>
      <c r="F15" s="61"/>
      <c r="G15" s="8">
        <v>1</v>
      </c>
      <c r="H15" s="3" t="s">
        <v>12</v>
      </c>
      <c r="I15" s="188">
        <v>0</v>
      </c>
      <c r="J15" s="189">
        <f>+I16</f>
        <v>9072159.9125364441</v>
      </c>
      <c r="K15" s="109"/>
      <c r="L15" s="114">
        <v>5</v>
      </c>
      <c r="M15" s="115">
        <f>+$L$15*M20</f>
        <v>25</v>
      </c>
      <c r="N15" s="115">
        <f>+$L$15*N20</f>
        <v>50</v>
      </c>
      <c r="O15" s="115">
        <f>+$L$15*O20</f>
        <v>75</v>
      </c>
      <c r="P15" s="115">
        <f>+$L$15*P20</f>
        <v>110</v>
      </c>
      <c r="Q15" s="116">
        <f>+$L$15*Q20</f>
        <v>135</v>
      </c>
      <c r="R15" s="110"/>
    </row>
    <row r="16" spans="1:26" ht="31.5" customHeight="1" x14ac:dyDescent="0.3">
      <c r="A16" s="2">
        <v>2</v>
      </c>
      <c r="B16" s="4" t="s">
        <v>5</v>
      </c>
      <c r="C16" s="254" t="s">
        <v>21</v>
      </c>
      <c r="D16" s="254"/>
      <c r="E16" s="254"/>
      <c r="F16" s="63"/>
      <c r="G16" s="8">
        <v>2</v>
      </c>
      <c r="H16" s="4" t="s">
        <v>13</v>
      </c>
      <c r="I16" s="188">
        <f>+I17/J10</f>
        <v>9072159.9125364441</v>
      </c>
      <c r="J16" s="189">
        <f>+I17</f>
        <v>63505119.387755103</v>
      </c>
      <c r="K16" s="109"/>
      <c r="L16" s="114">
        <v>4</v>
      </c>
      <c r="M16" s="117">
        <f>+$L$16*M20</f>
        <v>20</v>
      </c>
      <c r="N16" s="117">
        <f>+$L$16*N20</f>
        <v>40</v>
      </c>
      <c r="O16" s="115">
        <f>+$L$16*O20</f>
        <v>60</v>
      </c>
      <c r="P16" s="115">
        <f>+$L$16*P20</f>
        <v>88</v>
      </c>
      <c r="Q16" s="116">
        <f>+$L$16*Q20</f>
        <v>108</v>
      </c>
      <c r="R16" s="110"/>
    </row>
    <row r="17" spans="1:21" ht="31.5" customHeight="1" x14ac:dyDescent="0.3">
      <c r="A17" s="2">
        <v>3</v>
      </c>
      <c r="B17" s="5" t="s">
        <v>6</v>
      </c>
      <c r="C17" s="254" t="s">
        <v>7</v>
      </c>
      <c r="D17" s="254"/>
      <c r="E17" s="254"/>
      <c r="F17" s="63"/>
      <c r="G17" s="8">
        <v>3</v>
      </c>
      <c r="H17" s="5" t="s">
        <v>14</v>
      </c>
      <c r="I17" s="188">
        <f>+I18/J10</f>
        <v>63505119.387755103</v>
      </c>
      <c r="J17" s="189">
        <f>+I18</f>
        <v>444535835.71428573</v>
      </c>
      <c r="K17" s="109"/>
      <c r="L17" s="114">
        <v>3</v>
      </c>
      <c r="M17" s="117">
        <f>+$L$17*M20</f>
        <v>15</v>
      </c>
      <c r="N17" s="117">
        <f>+$L$17*N20</f>
        <v>30</v>
      </c>
      <c r="O17" s="117">
        <f>+$L$17*O20</f>
        <v>45</v>
      </c>
      <c r="P17" s="115">
        <f>+$L$17*P20</f>
        <v>66</v>
      </c>
      <c r="Q17" s="116">
        <f>+$L$17*Q20</f>
        <v>81</v>
      </c>
      <c r="R17" s="110"/>
    </row>
    <row r="18" spans="1:21" ht="31.5" customHeight="1" x14ac:dyDescent="0.25">
      <c r="A18" s="2">
        <v>4</v>
      </c>
      <c r="B18" s="6" t="s">
        <v>8</v>
      </c>
      <c r="C18" s="254" t="s">
        <v>9</v>
      </c>
      <c r="D18" s="254"/>
      <c r="E18" s="254"/>
      <c r="G18" s="8">
        <v>4</v>
      </c>
      <c r="H18" s="6" t="s">
        <v>15</v>
      </c>
      <c r="I18" s="188">
        <f>+I19/J10</f>
        <v>444535835.71428573</v>
      </c>
      <c r="J18" s="189">
        <f>+I19</f>
        <v>3111750850</v>
      </c>
      <c r="K18" s="109"/>
      <c r="L18" s="114">
        <v>2</v>
      </c>
      <c r="M18" s="118">
        <f>+$L$18*M20</f>
        <v>10</v>
      </c>
      <c r="N18" s="117">
        <f>+$L$18*N20</f>
        <v>20</v>
      </c>
      <c r="O18" s="117">
        <f>+$L$18*O20</f>
        <v>30</v>
      </c>
      <c r="P18" s="115">
        <f>+$L$18*P20</f>
        <v>44</v>
      </c>
      <c r="Q18" s="116">
        <f>+$L$18*Q20</f>
        <v>54</v>
      </c>
      <c r="R18" s="110"/>
    </row>
    <row r="19" spans="1:21" ht="31.5" customHeight="1" x14ac:dyDescent="0.25">
      <c r="A19" s="2">
        <v>5</v>
      </c>
      <c r="B19" s="7" t="s">
        <v>10</v>
      </c>
      <c r="C19" s="254" t="s">
        <v>11</v>
      </c>
      <c r="D19" s="254"/>
      <c r="E19" s="254"/>
      <c r="G19" s="8">
        <v>5</v>
      </c>
      <c r="H19" s="7" t="s">
        <v>16</v>
      </c>
      <c r="I19" s="188">
        <f>+C10</f>
        <v>3111750850</v>
      </c>
      <c r="J19" s="189"/>
      <c r="K19" s="109"/>
      <c r="L19" s="114">
        <v>1</v>
      </c>
      <c r="M19" s="118">
        <f>+$L$19*M20</f>
        <v>5</v>
      </c>
      <c r="N19" s="118">
        <f>+$L$19*N20</f>
        <v>10</v>
      </c>
      <c r="O19" s="117">
        <f>+$L$19*O20</f>
        <v>15</v>
      </c>
      <c r="P19" s="115">
        <f>+$L$19*P20</f>
        <v>22</v>
      </c>
      <c r="Q19" s="116">
        <f>+$L$19*Q20</f>
        <v>27</v>
      </c>
      <c r="R19" s="110"/>
    </row>
    <row r="20" spans="1:21" x14ac:dyDescent="0.25">
      <c r="A20" s="62"/>
      <c r="B20" s="62"/>
      <c r="C20" s="62"/>
      <c r="D20" s="62"/>
      <c r="E20" s="62"/>
      <c r="F20" s="62"/>
      <c r="G20" s="62"/>
      <c r="H20" s="62"/>
      <c r="I20" s="215"/>
      <c r="J20" s="216"/>
      <c r="K20" s="109"/>
      <c r="L20" s="114"/>
      <c r="M20" s="114">
        <v>5</v>
      </c>
      <c r="N20" s="114">
        <v>10</v>
      </c>
      <c r="O20" s="114">
        <v>15</v>
      </c>
      <c r="P20" s="114">
        <v>22</v>
      </c>
      <c r="Q20" s="114">
        <v>27</v>
      </c>
      <c r="R20" s="110"/>
    </row>
    <row r="21" spans="1:21" x14ac:dyDescent="0.25">
      <c r="G21" s="217"/>
      <c r="J21" s="216"/>
    </row>
    <row r="22" spans="1:21" ht="15.75" x14ac:dyDescent="0.25">
      <c r="B22" s="218" t="s">
        <v>562</v>
      </c>
      <c r="F22" s="75" t="str">
        <f>'Descripcion Actividades'!D3</f>
        <v>Fase 1</v>
      </c>
      <c r="G22" s="217"/>
      <c r="J22" s="216"/>
    </row>
    <row r="23" spans="1:21" x14ac:dyDescent="0.25">
      <c r="B23" s="59"/>
      <c r="C23" s="59"/>
      <c r="D23" s="59"/>
      <c r="E23" s="59"/>
      <c r="F23" s="59"/>
      <c r="G23" s="217"/>
      <c r="J23" s="216"/>
    </row>
    <row r="24" spans="1:21" x14ac:dyDescent="0.25">
      <c r="A24" s="60"/>
      <c r="B24" s="9" t="s">
        <v>33</v>
      </c>
      <c r="C24" s="9" t="s">
        <v>34</v>
      </c>
      <c r="D24" s="9" t="s">
        <v>35</v>
      </c>
      <c r="E24" s="9" t="s">
        <v>36</v>
      </c>
      <c r="F24" s="9" t="s">
        <v>37</v>
      </c>
      <c r="G24" s="212"/>
      <c r="H24" s="213" t="s">
        <v>564</v>
      </c>
      <c r="I24" s="213" t="s">
        <v>565</v>
      </c>
      <c r="L24" s="76"/>
      <c r="M24" s="76"/>
      <c r="R24" s="214"/>
      <c r="S24" s="214"/>
    </row>
    <row r="25" spans="1:21" s="204" customFormat="1" ht="45" customHeight="1" x14ac:dyDescent="0.25">
      <c r="A25" s="197"/>
      <c r="B25" s="198" t="str">
        <f>IF('Datos Generales'!B34="","",'Datos Generales'!B34)</f>
        <v>Costo personal</v>
      </c>
      <c r="C25" s="66" t="s">
        <v>8</v>
      </c>
      <c r="D25" s="66" t="s">
        <v>13</v>
      </c>
      <c r="E25" s="67" t="str">
        <f t="shared" ref="E25:E34" si="0">IF(OR(L25=5,L25=10),"Bajo",IF(OR(L25=15,L25=20,L25=30,L25=40,L25=45),"Moderado",IF(OR(L25=22,L25=25,L25=44,L25=50,L25=60,L25=66,L25=75,L25=88,L25=100),"Considerable",IF(OR(L25=27,L25=54,L25=81,L25=108,L25=135),"Significativo",""))))</f>
        <v>Moderado</v>
      </c>
      <c r="F25" s="68" t="s">
        <v>563</v>
      </c>
      <c r="G25" s="199">
        <f>HLOOKUP('Descripcion Actividades'!C11,Valimpacto!B84:G99,3)*(IF('Eval Factores de Riesgo'!$CY$8=1,0.8,IF('Eval Factores de Riesgo'!$CY$8=2,0.9,IF('Eval Factores de Riesgo'!$CY$8=3,1,IF('Eval Factores de Riesgo'!$CY$8=4,1.1,1.2)))))</f>
        <v>91400668.928225994</v>
      </c>
      <c r="H25" s="200" t="str">
        <f>IF(B25&lt;&gt;"",'Eval Factores de Riesgo'!$CX$8,"")</f>
        <v>Posible</v>
      </c>
      <c r="I25" s="200" t="str">
        <f>IF(B25&lt;&gt;"",IF(G25&lt;='cap.7 - analisis riesgos'!$J$15,'cap.7 - analisis riesgos'!$H$15,IF(G25&lt;='cap.7 - analisis riesgos'!$J$16,'cap.7 - analisis riesgos'!$H$16,IF(G25&lt;='cap.7 - analisis riesgos'!$J$17,'cap.7 - analisis riesgos'!$H$17,IF(G25&lt;='cap.7 - analisis riesgos'!$J$18,'cap.7 - analisis riesgos'!$H$18,'cap.7 - analisis riesgos'!$H$19)))),"")</f>
        <v>Moderado</v>
      </c>
      <c r="J25" s="201">
        <f t="shared" ref="J25:J34" si="1">IF(C25="Raro",1,IF(C25="Poco Probable",2,IF(C25="Posible",3,IF(C25="Probable",4,IF(C25="Casi cierta",5,"")))))</f>
        <v>4</v>
      </c>
      <c r="K25" s="202">
        <f t="shared" ref="K25:K34" si="2">IF(D25="Mínimo",5,IF(D25="Menor",10,IF(D25="Moderado",15,IF(D25="Mayor",22,IF(D25="Catastrófico",27,"")))))</f>
        <v>10</v>
      </c>
      <c r="L25" s="203">
        <f>+J25*K25</f>
        <v>40</v>
      </c>
      <c r="M25" s="203"/>
      <c r="N25" s="11"/>
      <c r="O25" s="11"/>
      <c r="P25" s="11"/>
      <c r="Q25" s="11"/>
      <c r="R25" s="111"/>
      <c r="S25" s="111"/>
      <c r="T25" s="203"/>
      <c r="U25" s="203"/>
    </row>
    <row r="26" spans="1:21" s="204" customFormat="1" ht="45" customHeight="1" x14ac:dyDescent="0.25">
      <c r="A26" s="197"/>
      <c r="B26" s="198" t="str">
        <f>IF('Datos Generales'!B35="","",'Datos Generales'!B35)</f>
        <v>Costos indirectos</v>
      </c>
      <c r="C26" s="66" t="s">
        <v>8</v>
      </c>
      <c r="D26" s="66" t="s">
        <v>13</v>
      </c>
      <c r="E26" s="67" t="str">
        <f t="shared" si="0"/>
        <v>Moderado</v>
      </c>
      <c r="F26" s="68" t="s">
        <v>563</v>
      </c>
      <c r="G26" s="199">
        <f>HLOOKUP('Descripcion Actividades'!C11,Valimpacto!B84:G99,4)*(IF('Eval Factores de Riesgo'!$CY$8=1,0.8,IF('Eval Factores de Riesgo'!$CY$8=2,0.9,IF('Eval Factores de Riesgo'!$CY$8=3,1,IF('Eval Factores de Riesgo'!$CY$8=4,1.1,1.2)))))</f>
        <v>42008636.475000001</v>
      </c>
      <c r="H26" s="200" t="str">
        <f>IF(B26&lt;&gt;"",'Eval Factores de Riesgo'!$CX$8,"")</f>
        <v>Posible</v>
      </c>
      <c r="I26" s="200" t="str">
        <f>IF(B26&lt;&gt;"",IF(G26&lt;='cap.7 - analisis riesgos'!$J$15,'cap.7 - analisis riesgos'!$H$15,IF(G26&lt;='cap.7 - analisis riesgos'!$J$16,'cap.7 - analisis riesgos'!$H$16,IF(G26&lt;='cap.7 - analisis riesgos'!$J$17,'cap.7 - analisis riesgos'!$H$17,IF(G26&lt;='cap.7 - analisis riesgos'!$J$18,'cap.7 - analisis riesgos'!$H$18,'cap.7 - analisis riesgos'!$H$19)))),"")</f>
        <v>Menor</v>
      </c>
      <c r="J26" s="201">
        <f t="shared" si="1"/>
        <v>4</v>
      </c>
      <c r="K26" s="202">
        <f t="shared" si="2"/>
        <v>10</v>
      </c>
      <c r="L26" s="203">
        <f t="shared" ref="L26:L34" si="3">+J26*K26</f>
        <v>40</v>
      </c>
      <c r="M26" s="203"/>
      <c r="N26" s="11"/>
      <c r="O26" s="11"/>
      <c r="P26" s="11"/>
      <c r="Q26" s="11"/>
      <c r="R26" s="111"/>
      <c r="S26" s="111"/>
      <c r="T26" s="203"/>
      <c r="U26" s="203"/>
    </row>
    <row r="27" spans="1:21" s="204" customFormat="1" ht="45" customHeight="1" x14ac:dyDescent="0.25">
      <c r="A27" s="197"/>
      <c r="B27" s="198" t="str">
        <f>IF('Datos Generales'!B36="","",'Datos Generales'!B36)</f>
        <v/>
      </c>
      <c r="C27" s="66"/>
      <c r="D27" s="66"/>
      <c r="E27" s="67" t="e">
        <f t="shared" si="0"/>
        <v>#VALUE!</v>
      </c>
      <c r="F27" s="68"/>
      <c r="G27" s="199">
        <f>HLOOKUP('Descripcion Actividades'!C11,Valimpacto!B84:G99,5)*(IF('Eval Factores de Riesgo'!$CY$8=1,0.8,IF('Eval Factores de Riesgo'!$CY$8=2,0.9,IF('Eval Factores de Riesgo'!$CY$8=3,1,IF('Eval Factores de Riesgo'!$CY$8=4,1.1,1.2)))))</f>
        <v>0</v>
      </c>
      <c r="H27" s="200" t="str">
        <f>IF(B27&lt;&gt;"",'Eval Factores de Riesgo'!$CX$8,"")</f>
        <v/>
      </c>
      <c r="I27" s="200" t="str">
        <f>IF(B27&lt;&gt;"",IF(G27&lt;='cap.7 - analisis riesgos'!$J$15,'cap.7 - analisis riesgos'!$H$15,IF(G27&lt;='cap.7 - analisis riesgos'!$J$16,'cap.7 - analisis riesgos'!$H$16,IF(G27&lt;='cap.7 - analisis riesgos'!$J$17,'cap.7 - analisis riesgos'!$H$17,IF(G27&lt;='cap.7 - analisis riesgos'!$J$18,'cap.7 - analisis riesgos'!$H$18,'cap.7 - analisis riesgos'!$H$19)))),"")</f>
        <v/>
      </c>
      <c r="J27" s="201" t="str">
        <f t="shared" si="1"/>
        <v/>
      </c>
      <c r="K27" s="202" t="str">
        <f t="shared" si="2"/>
        <v/>
      </c>
      <c r="L27" s="203" t="e">
        <f t="shared" si="3"/>
        <v>#VALUE!</v>
      </c>
      <c r="M27" s="203"/>
      <c r="N27" s="11"/>
      <c r="O27" s="11"/>
      <c r="P27" s="11"/>
      <c r="Q27" s="11"/>
      <c r="R27" s="111"/>
      <c r="S27" s="111"/>
      <c r="T27" s="203"/>
      <c r="U27" s="203"/>
    </row>
    <row r="28" spans="1:21" s="204" customFormat="1" ht="45" customHeight="1" x14ac:dyDescent="0.25">
      <c r="A28" s="197"/>
      <c r="B28" s="198" t="str">
        <f>IF('Datos Generales'!B37="","",'Datos Generales'!B37)</f>
        <v/>
      </c>
      <c r="C28" s="66"/>
      <c r="D28" s="66"/>
      <c r="E28" s="67" t="e">
        <f t="shared" si="0"/>
        <v>#VALUE!</v>
      </c>
      <c r="F28" s="68"/>
      <c r="G28" s="199">
        <f>HLOOKUP('Descripcion Actividades'!C11,Valimpacto!B84:G99,6)*(IF('Eval Factores de Riesgo'!$CY$8=1,0.8,IF('Eval Factores de Riesgo'!$CY$8=2,0.9,IF('Eval Factores de Riesgo'!$CY$8=3,1,IF('Eval Factores de Riesgo'!$CY$8=4,1.1,1.2)))))</f>
        <v>0</v>
      </c>
      <c r="H28" s="200" t="str">
        <f>IF(B28&lt;&gt;"",'Eval Factores de Riesgo'!$CX$8,"")</f>
        <v/>
      </c>
      <c r="I28" s="200" t="str">
        <f>IF(B28&lt;&gt;"",IF(G28&lt;='cap.7 - analisis riesgos'!$J$15,'cap.7 - analisis riesgos'!$H$15,IF(G28&lt;='cap.7 - analisis riesgos'!$J$16,'cap.7 - analisis riesgos'!$H$16,IF(G28&lt;='cap.7 - analisis riesgos'!$J$17,'cap.7 - analisis riesgos'!$H$17,IF(G28&lt;='cap.7 - analisis riesgos'!$J$18,'cap.7 - analisis riesgos'!$H$18,'cap.7 - analisis riesgos'!$H$19)))),"")</f>
        <v/>
      </c>
      <c r="J28" s="201" t="str">
        <f t="shared" si="1"/>
        <v/>
      </c>
      <c r="K28" s="202" t="str">
        <f t="shared" si="2"/>
        <v/>
      </c>
      <c r="L28" s="203" t="e">
        <f t="shared" si="3"/>
        <v>#VALUE!</v>
      </c>
      <c r="M28" s="203"/>
      <c r="N28" s="11"/>
      <c r="O28" s="11"/>
      <c r="P28" s="11"/>
      <c r="Q28" s="11"/>
      <c r="R28" s="111"/>
      <c r="S28" s="111"/>
      <c r="T28" s="203"/>
      <c r="U28" s="203"/>
    </row>
    <row r="29" spans="1:21" s="204" customFormat="1" ht="45" customHeight="1" x14ac:dyDescent="0.25">
      <c r="A29" s="197"/>
      <c r="B29" s="198" t="str">
        <f>IF('Datos Generales'!B38="","",'Datos Generales'!B38)</f>
        <v/>
      </c>
      <c r="C29" s="66"/>
      <c r="D29" s="66"/>
      <c r="E29" s="67" t="e">
        <f t="shared" si="0"/>
        <v>#VALUE!</v>
      </c>
      <c r="F29" s="68"/>
      <c r="G29" s="199">
        <f>HLOOKUP('Descripcion Actividades'!C11,Valimpacto!B84:G99,7)*(IF('Eval Factores de Riesgo'!$CY$8=1,0.8,IF('Eval Factores de Riesgo'!$CY$8=2,0.9,IF('Eval Factores de Riesgo'!$CY$8=3,1,IF('Eval Factores de Riesgo'!$CY$8=4,1.1,1.2)))))</f>
        <v>0</v>
      </c>
      <c r="H29" s="200" t="str">
        <f>IF(B29&lt;&gt;"",'Eval Factores de Riesgo'!$CX$8,"")</f>
        <v/>
      </c>
      <c r="I29" s="200" t="str">
        <f>IF(B29&lt;&gt;"",IF(G29&lt;='cap.7 - analisis riesgos'!$J$15,'cap.7 - analisis riesgos'!$H$15,IF(G29&lt;='cap.7 - analisis riesgos'!$J$16,'cap.7 - analisis riesgos'!$H$16,IF(G29&lt;='cap.7 - analisis riesgos'!$J$17,'cap.7 - analisis riesgos'!$H$17,IF(G29&lt;='cap.7 - analisis riesgos'!$J$18,'cap.7 - analisis riesgos'!$H$18,'cap.7 - analisis riesgos'!$H$19)))),"")</f>
        <v/>
      </c>
      <c r="J29" s="201" t="str">
        <f t="shared" si="1"/>
        <v/>
      </c>
      <c r="K29" s="202" t="str">
        <f t="shared" si="2"/>
        <v/>
      </c>
      <c r="L29" s="203" t="e">
        <f t="shared" si="3"/>
        <v>#VALUE!</v>
      </c>
      <c r="M29" s="203"/>
      <c r="N29" s="11"/>
      <c r="O29" s="11"/>
      <c r="P29" s="11"/>
      <c r="Q29" s="11"/>
      <c r="R29" s="111"/>
      <c r="S29" s="111"/>
      <c r="T29" s="203"/>
      <c r="U29" s="203"/>
    </row>
    <row r="30" spans="1:21" s="204" customFormat="1" ht="45" customHeight="1" x14ac:dyDescent="0.25">
      <c r="A30" s="197"/>
      <c r="B30" s="198" t="str">
        <f>IF('Datos Generales'!B39="","",'Datos Generales'!B39)</f>
        <v/>
      </c>
      <c r="C30" s="66"/>
      <c r="D30" s="66"/>
      <c r="E30" s="67" t="e">
        <f t="shared" si="0"/>
        <v>#VALUE!</v>
      </c>
      <c r="F30" s="68"/>
      <c r="G30" s="199">
        <f>HLOOKUP('Descripcion Actividades'!C11,Valimpacto!B84:G99,8)*(IF('Eval Factores de Riesgo'!$CY$8=1,0.8,IF('Eval Factores de Riesgo'!$CY$8=2,0.9,IF('Eval Factores de Riesgo'!$CY$8=3,1,IF('Eval Factores de Riesgo'!$CY$8=4,1.1,1.2)))))</f>
        <v>0</v>
      </c>
      <c r="H30" s="200" t="str">
        <f>IF(B30&lt;&gt;"",'Eval Factores de Riesgo'!$CX$8,"")</f>
        <v/>
      </c>
      <c r="I30" s="200" t="str">
        <f>IF(B30&lt;&gt;"",IF(G30&lt;='cap.7 - analisis riesgos'!$J$15,'cap.7 - analisis riesgos'!$H$15,IF(G30&lt;='cap.7 - analisis riesgos'!$J$16,'cap.7 - analisis riesgos'!$H$16,IF(G30&lt;='cap.7 - analisis riesgos'!$J$17,'cap.7 - analisis riesgos'!$H$17,IF(G30&lt;='cap.7 - analisis riesgos'!$J$18,'cap.7 - analisis riesgos'!$H$18,'cap.7 - analisis riesgos'!$H$19)))),"")</f>
        <v/>
      </c>
      <c r="J30" s="201" t="str">
        <f t="shared" si="1"/>
        <v/>
      </c>
      <c r="K30" s="202" t="str">
        <f t="shared" si="2"/>
        <v/>
      </c>
      <c r="L30" s="203" t="e">
        <f t="shared" si="3"/>
        <v>#VALUE!</v>
      </c>
      <c r="M30" s="203"/>
      <c r="N30" s="11"/>
      <c r="O30" s="11"/>
      <c r="P30" s="11"/>
      <c r="Q30" s="11"/>
      <c r="R30" s="111"/>
      <c r="S30" s="111"/>
      <c r="T30" s="203"/>
      <c r="U30" s="203"/>
    </row>
    <row r="31" spans="1:21" s="204" customFormat="1" ht="45" customHeight="1" x14ac:dyDescent="0.25">
      <c r="A31" s="197"/>
      <c r="B31" s="198" t="str">
        <f>IF('Datos Generales'!B40="","",'Datos Generales'!B40)</f>
        <v/>
      </c>
      <c r="C31" s="66"/>
      <c r="D31" s="66"/>
      <c r="E31" s="67" t="e">
        <f t="shared" si="0"/>
        <v>#VALUE!</v>
      </c>
      <c r="F31" s="68"/>
      <c r="G31" s="199">
        <f>HLOOKUP('Descripcion Actividades'!C11,Valimpacto!B84:G99,9)*(IF('Eval Factores de Riesgo'!$CY$8=1,0.8,IF('Eval Factores de Riesgo'!$CY$8=2,0.9,IF('Eval Factores de Riesgo'!$CY$8=3,1,IF('Eval Factores de Riesgo'!$CY$8=4,1.1,1.2)))))</f>
        <v>0</v>
      </c>
      <c r="H31" s="200" t="str">
        <f>IF(B31&lt;&gt;"",'Eval Factores de Riesgo'!$CX$8,"")</f>
        <v/>
      </c>
      <c r="I31" s="200" t="str">
        <f>IF(B31&lt;&gt;"",IF(G31&lt;='cap.7 - analisis riesgos'!$J$15,'cap.7 - analisis riesgos'!$H$15,IF(G31&lt;='cap.7 - analisis riesgos'!$J$16,'cap.7 - analisis riesgos'!$H$16,IF(G31&lt;='cap.7 - analisis riesgos'!$J$17,'cap.7 - analisis riesgos'!$H$17,IF(G31&lt;='cap.7 - analisis riesgos'!$J$18,'cap.7 - analisis riesgos'!$H$18,'cap.7 - analisis riesgos'!$H$19)))),"")</f>
        <v/>
      </c>
      <c r="J31" s="201" t="str">
        <f t="shared" si="1"/>
        <v/>
      </c>
      <c r="K31" s="202" t="str">
        <f t="shared" si="2"/>
        <v/>
      </c>
      <c r="L31" s="203" t="e">
        <f t="shared" si="3"/>
        <v>#VALUE!</v>
      </c>
      <c r="M31" s="203"/>
      <c r="N31" s="11"/>
      <c r="O31" s="11"/>
      <c r="P31" s="11"/>
      <c r="Q31" s="11"/>
      <c r="R31" s="111"/>
      <c r="S31" s="111"/>
      <c r="T31" s="203"/>
      <c r="U31" s="203"/>
    </row>
    <row r="32" spans="1:21" s="204" customFormat="1" ht="45" customHeight="1" x14ac:dyDescent="0.25">
      <c r="A32" s="197"/>
      <c r="B32" s="198" t="str">
        <f>IF('Datos Generales'!B41="","",'Datos Generales'!B41)</f>
        <v/>
      </c>
      <c r="C32" s="66"/>
      <c r="D32" s="66"/>
      <c r="E32" s="67" t="e">
        <f t="shared" si="0"/>
        <v>#VALUE!</v>
      </c>
      <c r="F32" s="68"/>
      <c r="G32" s="199">
        <f>HLOOKUP('Descripcion Actividades'!C11,Valimpacto!B84:G99,10)*(IF('Eval Factores de Riesgo'!$CY$8=1,0.8,IF('Eval Factores de Riesgo'!$CY$8=2,0.9,IF('Eval Factores de Riesgo'!$CY$8=3,1,IF('Eval Factores de Riesgo'!$CY$8=4,1.1,1.2)))))</f>
        <v>0</v>
      </c>
      <c r="H32" s="200" t="str">
        <f>IF(B32&lt;&gt;"",'Eval Factores de Riesgo'!$CX$8,"")</f>
        <v/>
      </c>
      <c r="I32" s="200" t="str">
        <f>IF(B32&lt;&gt;"",IF(G32&lt;='cap.7 - analisis riesgos'!$J$15,'cap.7 - analisis riesgos'!$H$15,IF(G32&lt;='cap.7 - analisis riesgos'!$J$16,'cap.7 - analisis riesgos'!$H$16,IF(G32&lt;='cap.7 - analisis riesgos'!$J$17,'cap.7 - analisis riesgos'!$H$17,IF(G32&lt;='cap.7 - analisis riesgos'!$J$18,'cap.7 - analisis riesgos'!$H$18,'cap.7 - analisis riesgos'!$H$19)))),"")</f>
        <v/>
      </c>
      <c r="J32" s="201" t="str">
        <f t="shared" si="1"/>
        <v/>
      </c>
      <c r="K32" s="202" t="str">
        <f t="shared" si="2"/>
        <v/>
      </c>
      <c r="L32" s="203" t="e">
        <f t="shared" si="3"/>
        <v>#VALUE!</v>
      </c>
      <c r="M32" s="203"/>
      <c r="N32" s="11"/>
      <c r="O32" s="11"/>
      <c r="P32" s="11"/>
      <c r="Q32" s="11"/>
      <c r="R32" s="111"/>
      <c r="S32" s="111"/>
      <c r="T32" s="203"/>
      <c r="U32" s="203"/>
    </row>
    <row r="33" spans="1:21" s="204" customFormat="1" ht="45" customHeight="1" x14ac:dyDescent="0.25">
      <c r="A33" s="197"/>
      <c r="B33" s="198" t="str">
        <f>IF('Datos Generales'!B42="","",'Datos Generales'!B42)</f>
        <v/>
      </c>
      <c r="C33" s="66"/>
      <c r="D33" s="66"/>
      <c r="E33" s="67" t="e">
        <f t="shared" si="0"/>
        <v>#VALUE!</v>
      </c>
      <c r="F33" s="68"/>
      <c r="G33" s="199">
        <f>HLOOKUP('Descripcion Actividades'!C11,Valimpacto!B84:G99,11)*(IF('Eval Factores de Riesgo'!$CY$8=1,0.8,IF('Eval Factores de Riesgo'!$CY$8=2,0.9,IF('Eval Factores de Riesgo'!$CY$8=3,1,IF('Eval Factores de Riesgo'!$CY$8=4,1.1,1.2)))))</f>
        <v>0</v>
      </c>
      <c r="H33" s="200" t="str">
        <f>IF(B33&lt;&gt;"",'Eval Factores de Riesgo'!$CX$8,"")</f>
        <v/>
      </c>
      <c r="I33" s="200" t="str">
        <f>IF(B33&lt;&gt;"",IF(G33&lt;='cap.7 - analisis riesgos'!$J$15,'cap.7 - analisis riesgos'!$H$15,IF(G33&lt;='cap.7 - analisis riesgos'!$J$16,'cap.7 - analisis riesgos'!$H$16,IF(G33&lt;='cap.7 - analisis riesgos'!$J$17,'cap.7 - analisis riesgos'!$H$17,IF(G33&lt;='cap.7 - analisis riesgos'!$J$18,'cap.7 - analisis riesgos'!$H$18,'cap.7 - analisis riesgos'!$H$19)))),"")</f>
        <v/>
      </c>
      <c r="J33" s="201" t="str">
        <f t="shared" si="1"/>
        <v/>
      </c>
      <c r="K33" s="202" t="str">
        <f t="shared" si="2"/>
        <v/>
      </c>
      <c r="L33" s="203" t="e">
        <f t="shared" si="3"/>
        <v>#VALUE!</v>
      </c>
      <c r="M33" s="203"/>
      <c r="N33" s="11"/>
      <c r="O33" s="11"/>
      <c r="P33" s="11"/>
      <c r="Q33" s="11"/>
      <c r="R33" s="111"/>
      <c r="S33" s="111"/>
      <c r="T33" s="203"/>
      <c r="U33" s="203"/>
    </row>
    <row r="34" spans="1:21" s="204" customFormat="1" ht="45" customHeight="1" x14ac:dyDescent="0.25">
      <c r="A34" s="197"/>
      <c r="B34" s="198" t="str">
        <f>IF('Datos Generales'!B43="","",'Datos Generales'!B43)</f>
        <v/>
      </c>
      <c r="C34" s="66"/>
      <c r="D34" s="66"/>
      <c r="E34" s="67" t="e">
        <f t="shared" si="0"/>
        <v>#VALUE!</v>
      </c>
      <c r="F34" s="68"/>
      <c r="G34" s="199">
        <f>HLOOKUP('Descripcion Actividades'!C11,Valimpacto!B84:G99,12)*(IF('Eval Factores de Riesgo'!$CY$8=1,0.8,IF('Eval Factores de Riesgo'!$CY$8=2,0.9,IF('Eval Factores de Riesgo'!$CY$8=3,1,IF('Eval Factores de Riesgo'!$CY$8=4,1.1,1.2)))))</f>
        <v>0</v>
      </c>
      <c r="H34" s="200" t="str">
        <f>IF(B34&lt;&gt;"",'Eval Factores de Riesgo'!$CX$8,"")</f>
        <v/>
      </c>
      <c r="I34" s="200" t="str">
        <f>IF(B34&lt;&gt;"",IF(G34&lt;='cap.7 - analisis riesgos'!$J$15,'cap.7 - analisis riesgos'!$H$15,IF(G34&lt;='cap.7 - analisis riesgos'!$J$16,'cap.7 - analisis riesgos'!$H$16,IF(G34&lt;='cap.7 - analisis riesgos'!$J$17,'cap.7 - analisis riesgos'!$H$17,IF(G34&lt;='cap.7 - analisis riesgos'!$J$18,'cap.7 - analisis riesgos'!$H$18,'cap.7 - analisis riesgos'!$H$19)))),"")</f>
        <v/>
      </c>
      <c r="J34" s="201" t="str">
        <f t="shared" si="1"/>
        <v/>
      </c>
      <c r="K34" s="202" t="str">
        <f t="shared" si="2"/>
        <v/>
      </c>
      <c r="L34" s="203" t="e">
        <f t="shared" si="3"/>
        <v>#VALUE!</v>
      </c>
      <c r="M34" s="203"/>
      <c r="N34" s="11"/>
      <c r="O34" s="11"/>
      <c r="P34" s="11"/>
      <c r="Q34" s="11"/>
      <c r="R34" s="111"/>
      <c r="S34" s="111"/>
      <c r="T34" s="203"/>
      <c r="U34" s="203"/>
    </row>
    <row r="35" spans="1:21" x14ac:dyDescent="0.25">
      <c r="B35" s="62"/>
      <c r="C35" s="62"/>
      <c r="D35" s="62"/>
      <c r="E35" s="62"/>
      <c r="F35" s="62"/>
      <c r="G35" s="76"/>
      <c r="H35" s="62"/>
      <c r="I35" s="62"/>
      <c r="J35" s="10"/>
      <c r="K35" s="107"/>
      <c r="L35" s="10"/>
      <c r="M35" s="10"/>
      <c r="N35" s="11"/>
      <c r="O35" s="11"/>
      <c r="P35" s="11"/>
      <c r="Q35" s="11"/>
      <c r="R35" s="111"/>
      <c r="S35" s="111"/>
      <c r="T35" s="10"/>
      <c r="U35" s="10"/>
    </row>
    <row r="36" spans="1:21" ht="15.75" x14ac:dyDescent="0.25">
      <c r="B36" s="218" t="s">
        <v>23</v>
      </c>
      <c r="F36" s="75" t="str">
        <f>F22</f>
        <v>Fase 1</v>
      </c>
      <c r="G36" s="219"/>
      <c r="H36" s="217"/>
      <c r="I36" s="217"/>
      <c r="J36" s="10" t="str">
        <f t="shared" ref="J36:J78" si="4">IF(C36="Raro",1,IF(C36="Poco Probable",2,IF(C36="Posible",3,IF(C36="Probable",4,IF(C36="Casi cierta",5,"")))))</f>
        <v/>
      </c>
      <c r="K36" s="107" t="str">
        <f t="shared" ref="K36:K78" si="5">IF(D36="Mínimo",5,IF(D36="Menor",10,IF(D36="Moderado",15,IF(D36="Mayor",22,IF(D36="Catastrófico",27,"")))))</f>
        <v/>
      </c>
      <c r="L36" s="10"/>
      <c r="M36" s="10"/>
      <c r="N36" s="11"/>
      <c r="O36" s="11"/>
      <c r="P36" s="11"/>
      <c r="Q36" s="11"/>
      <c r="R36" s="111"/>
      <c r="S36" s="111"/>
      <c r="T36" s="10"/>
      <c r="U36" s="10"/>
    </row>
    <row r="37" spans="1:21" x14ac:dyDescent="0.25">
      <c r="B37" s="59"/>
      <c r="C37" s="59"/>
      <c r="D37" s="59"/>
      <c r="E37" s="59"/>
      <c r="F37" s="59"/>
      <c r="G37" s="219"/>
      <c r="H37" s="217"/>
      <c r="I37" s="217"/>
      <c r="J37" s="10" t="str">
        <f t="shared" si="4"/>
        <v/>
      </c>
      <c r="K37" s="107" t="str">
        <f t="shared" si="5"/>
        <v/>
      </c>
      <c r="L37" s="10"/>
      <c r="M37" s="10"/>
      <c r="N37" s="11"/>
      <c r="O37" s="11"/>
      <c r="P37" s="11"/>
      <c r="Q37" s="11"/>
      <c r="R37" s="111"/>
      <c r="S37" s="111"/>
      <c r="T37" s="10"/>
      <c r="U37" s="10"/>
    </row>
    <row r="38" spans="1:21" x14ac:dyDescent="0.25">
      <c r="A38" s="60"/>
      <c r="B38" s="9" t="s">
        <v>33</v>
      </c>
      <c r="C38" s="9" t="s">
        <v>34</v>
      </c>
      <c r="D38" s="9" t="s">
        <v>35</v>
      </c>
      <c r="E38" s="9" t="s">
        <v>36</v>
      </c>
      <c r="F38" s="9" t="s">
        <v>37</v>
      </c>
      <c r="G38" s="220"/>
      <c r="H38" s="213" t="s">
        <v>564</v>
      </c>
      <c r="I38" s="213" t="s">
        <v>565</v>
      </c>
      <c r="J38" s="10" t="str">
        <f t="shared" si="4"/>
        <v/>
      </c>
      <c r="K38" s="107" t="str">
        <f t="shared" si="5"/>
        <v/>
      </c>
      <c r="L38" s="10"/>
      <c r="M38" s="10"/>
      <c r="N38" s="11"/>
      <c r="O38" s="11"/>
      <c r="P38" s="11"/>
      <c r="Q38" s="11"/>
      <c r="R38" s="111"/>
      <c r="S38" s="111"/>
      <c r="T38" s="10"/>
      <c r="U38" s="10"/>
    </row>
    <row r="39" spans="1:21" s="204" customFormat="1" ht="45" customHeight="1" x14ac:dyDescent="0.25">
      <c r="A39" s="197"/>
      <c r="B39" s="206" t="str">
        <f>B25</f>
        <v>Costo personal</v>
      </c>
      <c r="C39" s="69" t="s">
        <v>6</v>
      </c>
      <c r="D39" s="69" t="s">
        <v>13</v>
      </c>
      <c r="E39" s="67" t="str">
        <f t="shared" ref="E39:E48" si="6">IF(OR(L39=5,L39=10),"Bajo",IF(OR(L39=15,L39=20,L39=30,L39=40,L39=45),"Moderado",IF(OR(L39=22,L39=25,L39=44,L39=50,L39=60,L39=66,L39=75,L39=88,L39=100),"Considerable",IF(OR(L39=27,L39=54,L39=81,L39=108,L39=135),"Significativo",""))))</f>
        <v>Moderado</v>
      </c>
      <c r="F39" s="68" t="s">
        <v>563</v>
      </c>
      <c r="G39" s="199">
        <f>HLOOKUP('Descripcion Actividades'!C11,Valimpacto!B84:G99,3)*(IF('Eval Factores de Riesgo'!$CY$17=1,0.8,IF('Eval Factores de Riesgo'!$CY$17=2,0.9,IF('Eval Factores de Riesgo'!$CY$17=3,1,IF('Eval Factores de Riesgo'!$CY$17=4,1.1,1.2)))))</f>
        <v>101556298.80914</v>
      </c>
      <c r="H39" s="205" t="str">
        <f>IF(B25&lt;&gt;"",'Eval Factores de Riesgo'!$CX$17,"")</f>
        <v>Probable</v>
      </c>
      <c r="I39" s="200" t="str">
        <f>IF(B39&lt;&gt;"",IF(G39&lt;='cap.7 - analisis riesgos'!$J$15,'cap.7 - analisis riesgos'!$H$15,IF(G39&lt;='cap.7 - analisis riesgos'!$J$16,'cap.7 - analisis riesgos'!$H$16,IF(G39&lt;='cap.7 - analisis riesgos'!$J$17,'cap.7 - analisis riesgos'!$H$17,IF(G39&lt;='cap.7 - analisis riesgos'!$J$18,'cap.7 - analisis riesgos'!$H$18,'cap.7 - analisis riesgos'!$H$19)))),"")</f>
        <v>Moderado</v>
      </c>
      <c r="J39" s="201">
        <f t="shared" si="4"/>
        <v>3</v>
      </c>
      <c r="K39" s="202">
        <f t="shared" si="5"/>
        <v>10</v>
      </c>
      <c r="L39" s="203">
        <f t="shared" ref="L39:L48" si="7">+J39*K39</f>
        <v>30</v>
      </c>
      <c r="M39" s="203"/>
      <c r="N39" s="11"/>
      <c r="O39" s="11"/>
      <c r="P39" s="11"/>
      <c r="Q39" s="11"/>
      <c r="R39" s="111"/>
      <c r="S39" s="111"/>
      <c r="T39" s="203"/>
      <c r="U39" s="203"/>
    </row>
    <row r="40" spans="1:21" s="204" customFormat="1" ht="45" customHeight="1" x14ac:dyDescent="0.25">
      <c r="A40" s="197"/>
      <c r="B40" s="206" t="str">
        <f t="shared" ref="B40:B48" si="8">B26</f>
        <v>Costos indirectos</v>
      </c>
      <c r="C40" s="69" t="s">
        <v>6</v>
      </c>
      <c r="D40" s="69" t="s">
        <v>13</v>
      </c>
      <c r="E40" s="67" t="str">
        <f t="shared" si="6"/>
        <v>Moderado</v>
      </c>
      <c r="F40" s="68" t="s">
        <v>563</v>
      </c>
      <c r="G40" s="199">
        <f>HLOOKUP('Descripcion Actividades'!C11,Valimpacto!B84:G99,4)*(IF('Eval Factores de Riesgo'!$CY$17=1,0.8,IF('Eval Factores de Riesgo'!$CY$17=2,0.9,IF('Eval Factores de Riesgo'!$CY$17=3,1,IF('Eval Factores de Riesgo'!$CY$17=4,1.1,1.2)))))</f>
        <v>46676262.75</v>
      </c>
      <c r="H40" s="205" t="str">
        <f>IF(B26&lt;&gt;"",'Eval Factores de Riesgo'!$CX$17,"")</f>
        <v>Probable</v>
      </c>
      <c r="I40" s="200" t="str">
        <f>IF(B40&lt;&gt;"",IF(G40&lt;='cap.7 - analisis riesgos'!$J$15,'cap.7 - analisis riesgos'!$H$15,IF(G40&lt;='cap.7 - analisis riesgos'!$J$16,'cap.7 - analisis riesgos'!$H$16,IF(G40&lt;='cap.7 - analisis riesgos'!$J$17,'cap.7 - analisis riesgos'!$H$17,IF(G40&lt;='cap.7 - analisis riesgos'!$J$18,'cap.7 - analisis riesgos'!$H$18,'cap.7 - analisis riesgos'!$H$19)))),"")</f>
        <v>Menor</v>
      </c>
      <c r="J40" s="201">
        <f t="shared" si="4"/>
        <v>3</v>
      </c>
      <c r="K40" s="202">
        <f t="shared" si="5"/>
        <v>10</v>
      </c>
      <c r="L40" s="203">
        <f t="shared" si="7"/>
        <v>30</v>
      </c>
      <c r="M40" s="203"/>
      <c r="N40" s="11"/>
      <c r="O40" s="11"/>
      <c r="P40" s="11"/>
      <c r="Q40" s="11"/>
      <c r="R40" s="111"/>
      <c r="S40" s="111"/>
      <c r="T40" s="203"/>
      <c r="U40" s="203"/>
    </row>
    <row r="41" spans="1:21" s="204" customFormat="1" ht="45" customHeight="1" x14ac:dyDescent="0.25">
      <c r="A41" s="197"/>
      <c r="B41" s="206" t="str">
        <f t="shared" si="8"/>
        <v/>
      </c>
      <c r="C41" s="69"/>
      <c r="D41" s="69"/>
      <c r="E41" s="67" t="e">
        <f t="shared" si="6"/>
        <v>#VALUE!</v>
      </c>
      <c r="F41" s="68"/>
      <c r="G41" s="199">
        <f>HLOOKUP('Descripcion Actividades'!C11,Valimpacto!B84:G99,5)*(IF('Eval Factores de Riesgo'!$CY$17=1,0.8,IF('Eval Factores de Riesgo'!$CY$17=2,0.9,IF('Eval Factores de Riesgo'!$CY$17=3,1,IF('Eval Factores de Riesgo'!$CY$17=4,1.1,1.2)))))</f>
        <v>0</v>
      </c>
      <c r="H41" s="205" t="str">
        <f>IF(B27&lt;&gt;"",'Eval Factores de Riesgo'!$CX$17,"")</f>
        <v/>
      </c>
      <c r="I41" s="200" t="str">
        <f>IF(B41&lt;&gt;"",IF(G41&lt;='cap.7 - analisis riesgos'!$J$15,'cap.7 - analisis riesgos'!$H$15,IF(G41&lt;='cap.7 - analisis riesgos'!$J$16,'cap.7 - analisis riesgos'!$H$16,IF(G41&lt;='cap.7 - analisis riesgos'!$J$17,'cap.7 - analisis riesgos'!$H$17,IF(G41&lt;='cap.7 - analisis riesgos'!$J$18,'cap.7 - analisis riesgos'!$H$18,'cap.7 - analisis riesgos'!$H$19)))),"")</f>
        <v/>
      </c>
      <c r="J41" s="201" t="str">
        <f t="shared" si="4"/>
        <v/>
      </c>
      <c r="K41" s="202" t="str">
        <f t="shared" si="5"/>
        <v/>
      </c>
      <c r="L41" s="203" t="e">
        <f t="shared" si="7"/>
        <v>#VALUE!</v>
      </c>
      <c r="M41" s="203"/>
      <c r="N41" s="11"/>
      <c r="O41" s="11"/>
      <c r="P41" s="11"/>
      <c r="Q41" s="11"/>
      <c r="R41" s="111"/>
      <c r="S41" s="111"/>
      <c r="T41" s="203"/>
      <c r="U41" s="203"/>
    </row>
    <row r="42" spans="1:21" s="204" customFormat="1" ht="45" customHeight="1" x14ac:dyDescent="0.25">
      <c r="A42" s="197"/>
      <c r="B42" s="206" t="str">
        <f t="shared" si="8"/>
        <v/>
      </c>
      <c r="C42" s="69"/>
      <c r="D42" s="69"/>
      <c r="E42" s="67" t="e">
        <f t="shared" si="6"/>
        <v>#VALUE!</v>
      </c>
      <c r="F42" s="68"/>
      <c r="G42" s="199">
        <f>HLOOKUP('Descripcion Actividades'!C11,Valimpacto!B84:G99,6)*(IF('Eval Factores de Riesgo'!$CY$17=1,0.8,IF('Eval Factores de Riesgo'!$CY$17=2,0.9,IF('Eval Factores de Riesgo'!$CY$17=3,1,IF('Eval Factores de Riesgo'!$CY$17=4,1.1,1.2)))))</f>
        <v>0</v>
      </c>
      <c r="H42" s="205" t="str">
        <f>IF(B28&lt;&gt;"",'Eval Factores de Riesgo'!$CX$17,"")</f>
        <v/>
      </c>
      <c r="I42" s="200" t="str">
        <f>IF(B42&lt;&gt;"",IF(G42&lt;='cap.7 - analisis riesgos'!$J$15,'cap.7 - analisis riesgos'!$H$15,IF(G42&lt;='cap.7 - analisis riesgos'!$J$16,'cap.7 - analisis riesgos'!$H$16,IF(G42&lt;='cap.7 - analisis riesgos'!$J$17,'cap.7 - analisis riesgos'!$H$17,IF(G42&lt;='cap.7 - analisis riesgos'!$J$18,'cap.7 - analisis riesgos'!$H$18,'cap.7 - analisis riesgos'!$H$19)))),"")</f>
        <v/>
      </c>
      <c r="J42" s="201" t="str">
        <f t="shared" si="4"/>
        <v/>
      </c>
      <c r="K42" s="202" t="str">
        <f t="shared" si="5"/>
        <v/>
      </c>
      <c r="L42" s="203" t="e">
        <f t="shared" si="7"/>
        <v>#VALUE!</v>
      </c>
      <c r="M42" s="203"/>
      <c r="N42" s="11"/>
      <c r="O42" s="11"/>
      <c r="P42" s="11"/>
      <c r="Q42" s="11"/>
      <c r="R42" s="111"/>
      <c r="S42" s="111"/>
      <c r="T42" s="203"/>
      <c r="U42" s="203"/>
    </row>
    <row r="43" spans="1:21" s="204" customFormat="1" ht="45" customHeight="1" x14ac:dyDescent="0.25">
      <c r="A43" s="197"/>
      <c r="B43" s="206" t="str">
        <f t="shared" si="8"/>
        <v/>
      </c>
      <c r="C43" s="69"/>
      <c r="D43" s="69"/>
      <c r="E43" s="67" t="e">
        <f t="shared" si="6"/>
        <v>#VALUE!</v>
      </c>
      <c r="F43" s="68"/>
      <c r="G43" s="199">
        <f>HLOOKUP('Descripcion Actividades'!C11,Valimpacto!B84:G99,7)*(IF('Eval Factores de Riesgo'!$CY$17=1,0.8,IF('Eval Factores de Riesgo'!$CY$17=2,0.9,IF('Eval Factores de Riesgo'!$CY$17=3,1,IF('Eval Factores de Riesgo'!$CY$17=4,1.1,1.2)))))</f>
        <v>0</v>
      </c>
      <c r="H43" s="205" t="str">
        <f>IF(B29&lt;&gt;"",'Eval Factores de Riesgo'!$CX$17,"")</f>
        <v/>
      </c>
      <c r="I43" s="200" t="str">
        <f>IF(B43&lt;&gt;"",IF(G43&lt;='cap.7 - analisis riesgos'!$J$15,'cap.7 - analisis riesgos'!$H$15,IF(G43&lt;='cap.7 - analisis riesgos'!$J$16,'cap.7 - analisis riesgos'!$H$16,IF(G43&lt;='cap.7 - analisis riesgos'!$J$17,'cap.7 - analisis riesgos'!$H$17,IF(G43&lt;='cap.7 - analisis riesgos'!$J$18,'cap.7 - analisis riesgos'!$H$18,'cap.7 - analisis riesgos'!$H$19)))),"")</f>
        <v/>
      </c>
      <c r="J43" s="201" t="str">
        <f t="shared" si="4"/>
        <v/>
      </c>
      <c r="K43" s="202" t="str">
        <f t="shared" si="5"/>
        <v/>
      </c>
      <c r="L43" s="203" t="e">
        <f t="shared" si="7"/>
        <v>#VALUE!</v>
      </c>
      <c r="M43" s="203"/>
      <c r="N43" s="11"/>
      <c r="O43" s="11"/>
      <c r="P43" s="11"/>
      <c r="Q43" s="11"/>
      <c r="R43" s="111"/>
      <c r="S43" s="111"/>
      <c r="T43" s="203"/>
      <c r="U43" s="203"/>
    </row>
    <row r="44" spans="1:21" s="204" customFormat="1" ht="45" customHeight="1" x14ac:dyDescent="0.25">
      <c r="A44" s="197"/>
      <c r="B44" s="206" t="str">
        <f t="shared" si="8"/>
        <v/>
      </c>
      <c r="C44" s="69"/>
      <c r="D44" s="69"/>
      <c r="E44" s="67" t="e">
        <f t="shared" si="6"/>
        <v>#VALUE!</v>
      </c>
      <c r="F44" s="68"/>
      <c r="G44" s="199">
        <f>HLOOKUP('Descripcion Actividades'!C11,Valimpacto!B84:G99,8)*(IF('Eval Factores de Riesgo'!$CY$17=1,0.8,IF('Eval Factores de Riesgo'!$CY$17=2,0.9,IF('Eval Factores de Riesgo'!$CY$17=3,1,IF('Eval Factores de Riesgo'!$CY$17=4,1.1,1.2)))))</f>
        <v>0</v>
      </c>
      <c r="H44" s="205" t="str">
        <f>IF(B30&lt;&gt;"",'Eval Factores de Riesgo'!$CX$17,"")</f>
        <v/>
      </c>
      <c r="I44" s="200" t="str">
        <f>IF(B44&lt;&gt;"",IF(G44&lt;='cap.7 - analisis riesgos'!$J$15,'cap.7 - analisis riesgos'!$H$15,IF(G44&lt;='cap.7 - analisis riesgos'!$J$16,'cap.7 - analisis riesgos'!$H$16,IF(G44&lt;='cap.7 - analisis riesgos'!$J$17,'cap.7 - analisis riesgos'!$H$17,IF(G44&lt;='cap.7 - analisis riesgos'!$J$18,'cap.7 - analisis riesgos'!$H$18,'cap.7 - analisis riesgos'!$H$19)))),"")</f>
        <v/>
      </c>
      <c r="J44" s="201" t="str">
        <f t="shared" si="4"/>
        <v/>
      </c>
      <c r="K44" s="202" t="str">
        <f t="shared" si="5"/>
        <v/>
      </c>
      <c r="L44" s="203" t="e">
        <f t="shared" si="7"/>
        <v>#VALUE!</v>
      </c>
      <c r="M44" s="203"/>
      <c r="N44" s="11"/>
      <c r="O44" s="11"/>
      <c r="P44" s="11"/>
      <c r="Q44" s="11"/>
      <c r="R44" s="111"/>
      <c r="S44" s="111"/>
      <c r="T44" s="203"/>
      <c r="U44" s="203"/>
    </row>
    <row r="45" spans="1:21" s="204" customFormat="1" ht="45" customHeight="1" x14ac:dyDescent="0.25">
      <c r="A45" s="197"/>
      <c r="B45" s="206" t="str">
        <f t="shared" si="8"/>
        <v/>
      </c>
      <c r="C45" s="69"/>
      <c r="D45" s="69"/>
      <c r="E45" s="67" t="e">
        <f t="shared" si="6"/>
        <v>#VALUE!</v>
      </c>
      <c r="F45" s="68"/>
      <c r="G45" s="199">
        <f>HLOOKUP('Descripcion Actividades'!C11,Valimpacto!B84:G99,9)*(IF('Eval Factores de Riesgo'!$CY$17=1,0.8,IF('Eval Factores de Riesgo'!$CY$17=2,0.9,IF('Eval Factores de Riesgo'!$CY$17=3,1,IF('Eval Factores de Riesgo'!$CY$17=4,1.1,1.2)))))</f>
        <v>0</v>
      </c>
      <c r="H45" s="205" t="str">
        <f>IF(B31&lt;&gt;"",'Eval Factores de Riesgo'!$CX$17,"")</f>
        <v/>
      </c>
      <c r="I45" s="200" t="str">
        <f>IF(B45&lt;&gt;"",IF(G45&lt;='cap.7 - analisis riesgos'!$J$15,'cap.7 - analisis riesgos'!$H$15,IF(G45&lt;='cap.7 - analisis riesgos'!$J$16,'cap.7 - analisis riesgos'!$H$16,IF(G45&lt;='cap.7 - analisis riesgos'!$J$17,'cap.7 - analisis riesgos'!$H$17,IF(G45&lt;='cap.7 - analisis riesgos'!$J$18,'cap.7 - analisis riesgos'!$H$18,'cap.7 - analisis riesgos'!$H$19)))),"")</f>
        <v/>
      </c>
      <c r="J45" s="201" t="str">
        <f t="shared" si="4"/>
        <v/>
      </c>
      <c r="K45" s="202" t="str">
        <f t="shared" si="5"/>
        <v/>
      </c>
      <c r="L45" s="203" t="e">
        <f t="shared" si="7"/>
        <v>#VALUE!</v>
      </c>
      <c r="M45" s="203"/>
      <c r="N45" s="11"/>
      <c r="O45" s="11"/>
      <c r="P45" s="11"/>
      <c r="Q45" s="11"/>
      <c r="R45" s="111"/>
      <c r="S45" s="111"/>
      <c r="T45" s="203"/>
      <c r="U45" s="203"/>
    </row>
    <row r="46" spans="1:21" s="204" customFormat="1" ht="45" customHeight="1" x14ac:dyDescent="0.25">
      <c r="A46" s="197"/>
      <c r="B46" s="206" t="str">
        <f t="shared" si="8"/>
        <v/>
      </c>
      <c r="C46" s="69"/>
      <c r="D46" s="69"/>
      <c r="E46" s="67" t="e">
        <f t="shared" si="6"/>
        <v>#VALUE!</v>
      </c>
      <c r="F46" s="68"/>
      <c r="G46" s="199">
        <f>HLOOKUP('Descripcion Actividades'!C11,Valimpacto!B84:G99,10)*(IF('Eval Factores de Riesgo'!$CY$17=1,0.8,IF('Eval Factores de Riesgo'!$CY$17=2,0.9,IF('Eval Factores de Riesgo'!$CY$17=3,1,IF('Eval Factores de Riesgo'!$CY$17=4,1.1,1.2)))))</f>
        <v>0</v>
      </c>
      <c r="H46" s="205" t="str">
        <f>IF(B32&lt;&gt;"",'Eval Factores de Riesgo'!$CX$17,"")</f>
        <v/>
      </c>
      <c r="I46" s="200" t="str">
        <f>IF(B46&lt;&gt;"",IF(G46&lt;='cap.7 - analisis riesgos'!$J$15,'cap.7 - analisis riesgos'!$H$15,IF(G46&lt;='cap.7 - analisis riesgos'!$J$16,'cap.7 - analisis riesgos'!$H$16,IF(G46&lt;='cap.7 - analisis riesgos'!$J$17,'cap.7 - analisis riesgos'!$H$17,IF(G46&lt;='cap.7 - analisis riesgos'!$J$18,'cap.7 - analisis riesgos'!$H$18,'cap.7 - analisis riesgos'!$H$19)))),"")</f>
        <v/>
      </c>
      <c r="J46" s="201" t="str">
        <f t="shared" si="4"/>
        <v/>
      </c>
      <c r="K46" s="202" t="str">
        <f t="shared" si="5"/>
        <v/>
      </c>
      <c r="L46" s="203" t="e">
        <f t="shared" si="7"/>
        <v>#VALUE!</v>
      </c>
      <c r="M46" s="203"/>
      <c r="N46" s="11"/>
      <c r="O46" s="11"/>
      <c r="P46" s="11"/>
      <c r="Q46" s="11"/>
      <c r="R46" s="111"/>
      <c r="S46" s="111"/>
      <c r="T46" s="203"/>
      <c r="U46" s="203"/>
    </row>
    <row r="47" spans="1:21" s="204" customFormat="1" ht="45" customHeight="1" x14ac:dyDescent="0.25">
      <c r="A47" s="197"/>
      <c r="B47" s="206" t="str">
        <f t="shared" si="8"/>
        <v/>
      </c>
      <c r="C47" s="69"/>
      <c r="D47" s="69"/>
      <c r="E47" s="67" t="e">
        <f t="shared" si="6"/>
        <v>#VALUE!</v>
      </c>
      <c r="F47" s="68"/>
      <c r="G47" s="199">
        <f>HLOOKUP('Descripcion Actividades'!C11,Valimpacto!B84:G99,11)*(IF('Eval Factores de Riesgo'!$CY$17=1,0.8,IF('Eval Factores de Riesgo'!$CY$17=2,0.9,IF('Eval Factores de Riesgo'!$CY$17=3,1,IF('Eval Factores de Riesgo'!$CY$17=4,1.1,1.2)))))</f>
        <v>0</v>
      </c>
      <c r="H47" s="205" t="str">
        <f>IF(B33&lt;&gt;"",'Eval Factores de Riesgo'!$CX$17,"")</f>
        <v/>
      </c>
      <c r="I47" s="200" t="str">
        <f>IF(B47&lt;&gt;"",IF(G47&lt;='cap.7 - analisis riesgos'!$J$15,'cap.7 - analisis riesgos'!$H$15,IF(G47&lt;='cap.7 - analisis riesgos'!$J$16,'cap.7 - analisis riesgos'!$H$16,IF(G47&lt;='cap.7 - analisis riesgos'!$J$17,'cap.7 - analisis riesgos'!$H$17,IF(G47&lt;='cap.7 - analisis riesgos'!$J$18,'cap.7 - analisis riesgos'!$H$18,'cap.7 - analisis riesgos'!$H$19)))),"")</f>
        <v/>
      </c>
      <c r="J47" s="201" t="str">
        <f t="shared" si="4"/>
        <v/>
      </c>
      <c r="K47" s="202" t="str">
        <f t="shared" si="5"/>
        <v/>
      </c>
      <c r="L47" s="203" t="e">
        <f t="shared" si="7"/>
        <v>#VALUE!</v>
      </c>
      <c r="M47" s="203"/>
      <c r="N47" s="11"/>
      <c r="O47" s="11"/>
      <c r="P47" s="11"/>
      <c r="Q47" s="11"/>
      <c r="R47" s="111"/>
      <c r="S47" s="111"/>
      <c r="T47" s="203"/>
      <c r="U47" s="203"/>
    </row>
    <row r="48" spans="1:21" s="204" customFormat="1" ht="45" customHeight="1" x14ac:dyDescent="0.25">
      <c r="A48" s="197"/>
      <c r="B48" s="206" t="str">
        <f t="shared" si="8"/>
        <v/>
      </c>
      <c r="C48" s="69"/>
      <c r="D48" s="69"/>
      <c r="E48" s="67" t="e">
        <f t="shared" si="6"/>
        <v>#VALUE!</v>
      </c>
      <c r="F48" s="68"/>
      <c r="G48" s="199">
        <f>HLOOKUP('Descripcion Actividades'!C11,Valimpacto!B84:G99,12)*(IF('Eval Factores de Riesgo'!$CY$17=1,0.8,IF('Eval Factores de Riesgo'!$CY$17=2,0.9,IF('Eval Factores de Riesgo'!$CY$17=3,1,IF('Eval Factores de Riesgo'!$CY$17=4,1.1,1.2)))))</f>
        <v>0</v>
      </c>
      <c r="H48" s="205" t="str">
        <f>IF(B34&lt;&gt;"",'Eval Factores de Riesgo'!$CX$17,"")</f>
        <v/>
      </c>
      <c r="I48" s="200" t="str">
        <f>IF(B48&lt;&gt;"",IF(G48&lt;='cap.7 - analisis riesgos'!$J$15,'cap.7 - analisis riesgos'!$H$15,IF(G48&lt;='cap.7 - analisis riesgos'!$J$16,'cap.7 - analisis riesgos'!$H$16,IF(G48&lt;='cap.7 - analisis riesgos'!$J$17,'cap.7 - analisis riesgos'!$H$17,IF(G48&lt;='cap.7 - analisis riesgos'!$J$18,'cap.7 - analisis riesgos'!$H$18,'cap.7 - analisis riesgos'!$H$19)))),"")</f>
        <v/>
      </c>
      <c r="J48" s="201" t="str">
        <f t="shared" si="4"/>
        <v/>
      </c>
      <c r="K48" s="202" t="str">
        <f t="shared" si="5"/>
        <v/>
      </c>
      <c r="L48" s="203" t="e">
        <f t="shared" si="7"/>
        <v>#VALUE!</v>
      </c>
      <c r="M48" s="203"/>
      <c r="N48" s="11"/>
      <c r="O48" s="11"/>
      <c r="P48" s="11"/>
      <c r="Q48" s="11"/>
      <c r="R48" s="111"/>
      <c r="S48" s="111"/>
      <c r="T48" s="203"/>
      <c r="U48" s="203"/>
    </row>
    <row r="49" spans="1:21" x14ac:dyDescent="0.25">
      <c r="B49" s="62"/>
      <c r="C49" s="62"/>
      <c r="D49" s="62"/>
      <c r="E49" s="62"/>
      <c r="F49" s="62"/>
      <c r="G49" s="76"/>
      <c r="H49" s="62"/>
      <c r="I49" s="62"/>
      <c r="J49" s="10" t="str">
        <f t="shared" si="4"/>
        <v/>
      </c>
      <c r="K49" s="107" t="str">
        <f t="shared" si="5"/>
        <v/>
      </c>
      <c r="L49" s="10"/>
      <c r="M49" s="10"/>
      <c r="N49" s="11"/>
      <c r="O49" s="11"/>
      <c r="P49" s="11"/>
      <c r="Q49" s="11"/>
      <c r="R49" s="111"/>
      <c r="S49" s="111"/>
      <c r="T49" s="10"/>
      <c r="U49" s="10"/>
    </row>
    <row r="50" spans="1:21" ht="15.75" x14ac:dyDescent="0.25">
      <c r="B50" s="218" t="s">
        <v>24</v>
      </c>
      <c r="F50" s="75" t="str">
        <f>F36</f>
        <v>Fase 1</v>
      </c>
      <c r="G50" s="219"/>
      <c r="H50" s="217"/>
      <c r="I50" s="217"/>
      <c r="J50" s="10" t="str">
        <f t="shared" si="4"/>
        <v/>
      </c>
      <c r="K50" s="107" t="str">
        <f t="shared" si="5"/>
        <v/>
      </c>
      <c r="L50" s="10"/>
      <c r="M50" s="10"/>
      <c r="N50" s="11"/>
      <c r="O50" s="11"/>
      <c r="P50" s="11"/>
      <c r="Q50" s="11"/>
      <c r="R50" s="111"/>
      <c r="S50" s="111"/>
      <c r="T50" s="10"/>
      <c r="U50" s="10"/>
    </row>
    <row r="51" spans="1:21" x14ac:dyDescent="0.25">
      <c r="B51" s="59"/>
      <c r="C51" s="59"/>
      <c r="D51" s="59"/>
      <c r="E51" s="59"/>
      <c r="F51" s="59"/>
      <c r="G51" s="219"/>
      <c r="H51" s="217"/>
      <c r="I51" s="217"/>
      <c r="J51" s="10" t="str">
        <f t="shared" si="4"/>
        <v/>
      </c>
      <c r="K51" s="107" t="str">
        <f t="shared" si="5"/>
        <v/>
      </c>
      <c r="L51" s="10"/>
      <c r="M51" s="10"/>
      <c r="N51" s="11"/>
      <c r="O51" s="11"/>
      <c r="P51" s="11"/>
      <c r="Q51" s="11"/>
      <c r="R51" s="111"/>
      <c r="S51" s="111"/>
      <c r="T51" s="10"/>
      <c r="U51" s="10"/>
    </row>
    <row r="52" spans="1:21" x14ac:dyDescent="0.25">
      <c r="A52" s="60"/>
      <c r="B52" s="9" t="s">
        <v>33</v>
      </c>
      <c r="C52" s="9" t="s">
        <v>34</v>
      </c>
      <c r="D52" s="9" t="s">
        <v>35</v>
      </c>
      <c r="E52" s="9" t="s">
        <v>36</v>
      </c>
      <c r="F52" s="9" t="s">
        <v>37</v>
      </c>
      <c r="G52" s="220"/>
      <c r="H52" s="213" t="s">
        <v>564</v>
      </c>
      <c r="I52" s="213" t="s">
        <v>565</v>
      </c>
      <c r="J52" s="10" t="str">
        <f t="shared" si="4"/>
        <v/>
      </c>
      <c r="K52" s="107" t="str">
        <f t="shared" si="5"/>
        <v/>
      </c>
      <c r="L52" s="10"/>
      <c r="M52" s="10"/>
      <c r="N52" s="11"/>
      <c r="O52" s="11"/>
      <c r="P52" s="11"/>
      <c r="Q52" s="11"/>
      <c r="R52" s="111"/>
      <c r="S52" s="111"/>
      <c r="T52" s="10"/>
      <c r="U52" s="10"/>
    </row>
    <row r="53" spans="1:21" s="204" customFormat="1" ht="45" customHeight="1" x14ac:dyDescent="0.25">
      <c r="A53" s="197"/>
      <c r="B53" s="198" t="str">
        <f>B39</f>
        <v>Costo personal</v>
      </c>
      <c r="C53" s="66" t="s">
        <v>6</v>
      </c>
      <c r="D53" s="66" t="s">
        <v>13</v>
      </c>
      <c r="E53" s="67" t="str">
        <f t="shared" ref="E53:E62" si="9">IF(OR(L53=5,L53=10),"Bajo",IF(OR(L53=15,L53=20,L53=30,L53=40,L53=45),"Moderado",IF(OR(L53=22,L53=25,L53=44,L53=50,L53=60,L53=66,L53=75,L53=88,L53=100),"Considerable",IF(OR(L53=27,L53=54,L53=81,L53=108,L53=135),"Significativo",""))))</f>
        <v>Moderado</v>
      </c>
      <c r="F53" s="68" t="s">
        <v>563</v>
      </c>
      <c r="G53" s="199">
        <f>HLOOKUP('Descripcion Actividades'!C11,Valimpacto!B84:G99,3)*(IF('Eval Factores de Riesgo'!$CY$24=1,0.8,IF('Eval Factores de Riesgo'!$CY$24=2,0.9,IF('Eval Factores de Riesgo'!$CY$24=3,1,IF('Eval Factores de Riesgo'!$CY$24=4,1.1,1.2)))))</f>
        <v>101556298.80914</v>
      </c>
      <c r="H53" s="205" t="str">
        <f>IF(B25&lt;&gt;"",'Eval Factores de Riesgo'!$CX$24,"")</f>
        <v>Probable</v>
      </c>
      <c r="I53" s="200" t="str">
        <f>IF(B53&lt;&gt;"",IF(G53&lt;='cap.7 - analisis riesgos'!$J$15,'cap.7 - analisis riesgos'!$H$15,IF(G53&lt;='cap.7 - analisis riesgos'!$J$16,'cap.7 - analisis riesgos'!$H$16,IF(G53&lt;='cap.7 - analisis riesgos'!$J$17,'cap.7 - analisis riesgos'!$H$17,IF(G53&lt;='cap.7 - analisis riesgos'!$J$18,'cap.7 - analisis riesgos'!$H$18,'cap.7 - analisis riesgos'!$H$19)))),"")</f>
        <v>Moderado</v>
      </c>
      <c r="J53" s="201">
        <f t="shared" si="4"/>
        <v>3</v>
      </c>
      <c r="K53" s="202">
        <f t="shared" si="5"/>
        <v>10</v>
      </c>
      <c r="L53" s="203">
        <f t="shared" ref="L53:L76" si="10">+J53*K53</f>
        <v>30</v>
      </c>
      <c r="M53" s="203"/>
      <c r="N53" s="11"/>
      <c r="O53" s="11"/>
      <c r="P53" s="11"/>
      <c r="Q53" s="11"/>
      <c r="R53" s="111"/>
      <c r="S53" s="111"/>
      <c r="T53" s="203"/>
      <c r="U53" s="203"/>
    </row>
    <row r="54" spans="1:21" s="204" customFormat="1" ht="45" customHeight="1" x14ac:dyDescent="0.25">
      <c r="A54" s="197"/>
      <c r="B54" s="198" t="str">
        <f t="shared" ref="B54:B62" si="11">B40</f>
        <v>Costos indirectos</v>
      </c>
      <c r="C54" s="66" t="s">
        <v>6</v>
      </c>
      <c r="D54" s="66" t="s">
        <v>13</v>
      </c>
      <c r="E54" s="67" t="str">
        <f t="shared" si="9"/>
        <v>Moderado</v>
      </c>
      <c r="F54" s="68" t="s">
        <v>563</v>
      </c>
      <c r="G54" s="199">
        <f>HLOOKUP('Descripcion Actividades'!C11,Valimpacto!B84:G99,4)*(IF('Eval Factores de Riesgo'!$CY$24=1,0.8,IF('Eval Factores de Riesgo'!$CY$24=2,0.9,IF('Eval Factores de Riesgo'!$CY$24=3,1,IF('Eval Factores de Riesgo'!$CY$24=4,1.1,1.2)))))</f>
        <v>46676262.75</v>
      </c>
      <c r="H54" s="205" t="str">
        <f>IF(B26&lt;&gt;"",'Eval Factores de Riesgo'!$CX$24,"")</f>
        <v>Probable</v>
      </c>
      <c r="I54" s="200" t="str">
        <f>IF(B54&lt;&gt;"",IF(G54&lt;='cap.7 - analisis riesgos'!$J$15,'cap.7 - analisis riesgos'!$H$15,IF(G54&lt;='cap.7 - analisis riesgos'!$J$16,'cap.7 - analisis riesgos'!$H$16,IF(G54&lt;='cap.7 - analisis riesgos'!$J$17,'cap.7 - analisis riesgos'!$H$17,IF(G54&lt;='cap.7 - analisis riesgos'!$J$18,'cap.7 - analisis riesgos'!$H$18,'cap.7 - analisis riesgos'!$H$19)))),"")</f>
        <v>Menor</v>
      </c>
      <c r="J54" s="201">
        <f t="shared" si="4"/>
        <v>3</v>
      </c>
      <c r="K54" s="202">
        <f t="shared" si="5"/>
        <v>10</v>
      </c>
      <c r="L54" s="203">
        <f t="shared" si="10"/>
        <v>30</v>
      </c>
      <c r="M54" s="203"/>
      <c r="N54" s="11"/>
      <c r="O54" s="11"/>
      <c r="P54" s="11"/>
      <c r="Q54" s="11"/>
      <c r="R54" s="111"/>
      <c r="S54" s="111"/>
      <c r="T54" s="203"/>
      <c r="U54" s="203"/>
    </row>
    <row r="55" spans="1:21" s="204" customFormat="1" ht="45" customHeight="1" x14ac:dyDescent="0.25">
      <c r="A55" s="197"/>
      <c r="B55" s="198" t="str">
        <f t="shared" si="11"/>
        <v/>
      </c>
      <c r="C55" s="66"/>
      <c r="D55" s="66"/>
      <c r="E55" s="67" t="e">
        <f t="shared" si="9"/>
        <v>#VALUE!</v>
      </c>
      <c r="F55" s="68" t="s">
        <v>563</v>
      </c>
      <c r="G55" s="199">
        <f>HLOOKUP('Descripcion Actividades'!C11,Valimpacto!B84:G99,5)*(IF('Eval Factores de Riesgo'!$CY$24=1,0.8,IF('Eval Factores de Riesgo'!$CY$24=2,0.9,IF('Eval Factores de Riesgo'!$CY$24=3,1,IF('Eval Factores de Riesgo'!$CY$24=4,1.1,1.2)))))</f>
        <v>0</v>
      </c>
      <c r="H55" s="205" t="str">
        <f>IF(B27&lt;&gt;"",'Eval Factores de Riesgo'!$CX$24,"")</f>
        <v/>
      </c>
      <c r="I55" s="200" t="str">
        <f>IF(B55&lt;&gt;"",IF(G55&lt;='cap.7 - analisis riesgos'!$J$15,'cap.7 - analisis riesgos'!$H$15,IF(G55&lt;='cap.7 - analisis riesgos'!$J$16,'cap.7 - analisis riesgos'!$H$16,IF(G55&lt;='cap.7 - analisis riesgos'!$J$17,'cap.7 - analisis riesgos'!$H$17,IF(G55&lt;='cap.7 - analisis riesgos'!$J$18,'cap.7 - analisis riesgos'!$H$18,'cap.7 - analisis riesgos'!$H$19)))),"")</f>
        <v/>
      </c>
      <c r="J55" s="201" t="str">
        <f t="shared" si="4"/>
        <v/>
      </c>
      <c r="K55" s="202" t="str">
        <f t="shared" si="5"/>
        <v/>
      </c>
      <c r="L55" s="203" t="e">
        <f t="shared" si="10"/>
        <v>#VALUE!</v>
      </c>
      <c r="M55" s="203"/>
      <c r="N55" s="11"/>
      <c r="O55" s="11"/>
      <c r="P55" s="11"/>
      <c r="Q55" s="11"/>
      <c r="R55" s="111"/>
      <c r="S55" s="111"/>
      <c r="T55" s="203"/>
      <c r="U55" s="203"/>
    </row>
    <row r="56" spans="1:21" s="204" customFormat="1" ht="45" customHeight="1" x14ac:dyDescent="0.25">
      <c r="A56" s="197"/>
      <c r="B56" s="198" t="str">
        <f t="shared" si="11"/>
        <v/>
      </c>
      <c r="C56" s="66"/>
      <c r="D56" s="66"/>
      <c r="E56" s="67" t="e">
        <f t="shared" si="9"/>
        <v>#VALUE!</v>
      </c>
      <c r="F56" s="68"/>
      <c r="G56" s="199">
        <f>HLOOKUP('Descripcion Actividades'!C11,Valimpacto!B84:G99,6)*(IF('Eval Factores de Riesgo'!$CY$24=1,0.8,IF('Eval Factores de Riesgo'!$CY$24=2,0.9,IF('Eval Factores de Riesgo'!$CY$24=3,1,IF('Eval Factores de Riesgo'!$CY$24=4,1.1,1.2)))))</f>
        <v>0</v>
      </c>
      <c r="H56" s="205" t="str">
        <f>IF(B28&lt;&gt;"",'Eval Factores de Riesgo'!$CX$24,"")</f>
        <v/>
      </c>
      <c r="I56" s="200" t="str">
        <f>IF(B56&lt;&gt;"",IF(G56&lt;='cap.7 - analisis riesgos'!$J$15,'cap.7 - analisis riesgos'!$H$15,IF(G56&lt;='cap.7 - analisis riesgos'!$J$16,'cap.7 - analisis riesgos'!$H$16,IF(G56&lt;='cap.7 - analisis riesgos'!$J$17,'cap.7 - analisis riesgos'!$H$17,IF(G56&lt;='cap.7 - analisis riesgos'!$J$18,'cap.7 - analisis riesgos'!$H$18,'cap.7 - analisis riesgos'!$H$19)))),"")</f>
        <v/>
      </c>
      <c r="J56" s="201" t="str">
        <f t="shared" si="4"/>
        <v/>
      </c>
      <c r="K56" s="202" t="str">
        <f t="shared" si="5"/>
        <v/>
      </c>
      <c r="L56" s="203" t="e">
        <f t="shared" si="10"/>
        <v>#VALUE!</v>
      </c>
      <c r="M56" s="203"/>
      <c r="N56" s="11"/>
      <c r="O56" s="11"/>
      <c r="P56" s="11"/>
      <c r="Q56" s="11"/>
      <c r="R56" s="111"/>
      <c r="S56" s="111"/>
      <c r="T56" s="203"/>
      <c r="U56" s="203"/>
    </row>
    <row r="57" spans="1:21" s="204" customFormat="1" ht="45" customHeight="1" x14ac:dyDescent="0.25">
      <c r="A57" s="197"/>
      <c r="B57" s="198" t="str">
        <f t="shared" si="11"/>
        <v/>
      </c>
      <c r="C57" s="66"/>
      <c r="D57" s="66"/>
      <c r="E57" s="67" t="e">
        <f t="shared" si="9"/>
        <v>#VALUE!</v>
      </c>
      <c r="F57" s="68"/>
      <c r="G57" s="199">
        <f>HLOOKUP('Descripcion Actividades'!C11,Valimpacto!B84:G99,7)*(IF('Eval Factores de Riesgo'!$CY$24=1,0.8,IF('Eval Factores de Riesgo'!$CY$24=2,0.9,IF('Eval Factores de Riesgo'!$CY$24=3,1,IF('Eval Factores de Riesgo'!$CY$24=4,1.1,1.2)))))</f>
        <v>0</v>
      </c>
      <c r="H57" s="205" t="str">
        <f>IF(B29&lt;&gt;"",'Eval Factores de Riesgo'!$CX$24,"")</f>
        <v/>
      </c>
      <c r="I57" s="200" t="str">
        <f>IF(B57&lt;&gt;"",IF(G57&lt;='cap.7 - analisis riesgos'!$J$15,'cap.7 - analisis riesgos'!$H$15,IF(G57&lt;='cap.7 - analisis riesgos'!$J$16,'cap.7 - analisis riesgos'!$H$16,IF(G57&lt;='cap.7 - analisis riesgos'!$J$17,'cap.7 - analisis riesgos'!$H$17,IF(G57&lt;='cap.7 - analisis riesgos'!$J$18,'cap.7 - analisis riesgos'!$H$18,'cap.7 - analisis riesgos'!$H$19)))),"")</f>
        <v/>
      </c>
      <c r="J57" s="201" t="str">
        <f t="shared" si="4"/>
        <v/>
      </c>
      <c r="K57" s="202" t="str">
        <f t="shared" si="5"/>
        <v/>
      </c>
      <c r="L57" s="203" t="e">
        <f t="shared" si="10"/>
        <v>#VALUE!</v>
      </c>
      <c r="M57" s="203"/>
      <c r="N57" s="11"/>
      <c r="O57" s="11"/>
      <c r="P57" s="11"/>
      <c r="Q57" s="11"/>
      <c r="R57" s="111"/>
      <c r="S57" s="111"/>
      <c r="T57" s="203"/>
      <c r="U57" s="203"/>
    </row>
    <row r="58" spans="1:21" s="204" customFormat="1" ht="45" customHeight="1" x14ac:dyDescent="0.25">
      <c r="A58" s="197"/>
      <c r="B58" s="198" t="str">
        <f t="shared" si="11"/>
        <v/>
      </c>
      <c r="C58" s="66"/>
      <c r="D58" s="66"/>
      <c r="E58" s="67" t="e">
        <f t="shared" si="9"/>
        <v>#VALUE!</v>
      </c>
      <c r="F58" s="68"/>
      <c r="G58" s="199">
        <f>HLOOKUP('Descripcion Actividades'!C11,Valimpacto!B84:G99,8)*(IF('Eval Factores de Riesgo'!$CY$24=1,0.8,IF('Eval Factores de Riesgo'!$CY$24=2,0.9,IF('Eval Factores de Riesgo'!$CY$24=3,1,IF('Eval Factores de Riesgo'!$CY$24=4,1.1,1.2)))))</f>
        <v>0</v>
      </c>
      <c r="H58" s="205" t="str">
        <f>IF(B30&lt;&gt;"",'Eval Factores de Riesgo'!$CX$24,"")</f>
        <v/>
      </c>
      <c r="I58" s="200" t="str">
        <f>IF(B58&lt;&gt;"",IF(G58&lt;='cap.7 - analisis riesgos'!$J$15,'cap.7 - analisis riesgos'!$H$15,IF(G58&lt;='cap.7 - analisis riesgos'!$J$16,'cap.7 - analisis riesgos'!$H$16,IF(G58&lt;='cap.7 - analisis riesgos'!$J$17,'cap.7 - analisis riesgos'!$H$17,IF(G58&lt;='cap.7 - analisis riesgos'!$J$18,'cap.7 - analisis riesgos'!$H$18,'cap.7 - analisis riesgos'!$H$19)))),"")</f>
        <v/>
      </c>
      <c r="J58" s="201" t="str">
        <f t="shared" si="4"/>
        <v/>
      </c>
      <c r="K58" s="202" t="str">
        <f t="shared" si="5"/>
        <v/>
      </c>
      <c r="L58" s="203" t="e">
        <f t="shared" si="10"/>
        <v>#VALUE!</v>
      </c>
      <c r="M58" s="203"/>
      <c r="N58" s="11"/>
      <c r="O58" s="11"/>
      <c r="P58" s="11"/>
      <c r="Q58" s="11"/>
      <c r="R58" s="111"/>
      <c r="S58" s="111"/>
      <c r="T58" s="203"/>
      <c r="U58" s="203"/>
    </row>
    <row r="59" spans="1:21" s="204" customFormat="1" ht="45" customHeight="1" x14ac:dyDescent="0.25">
      <c r="A59" s="197"/>
      <c r="B59" s="198" t="str">
        <f t="shared" si="11"/>
        <v/>
      </c>
      <c r="C59" s="66"/>
      <c r="D59" s="66"/>
      <c r="E59" s="67" t="e">
        <f t="shared" si="9"/>
        <v>#VALUE!</v>
      </c>
      <c r="F59" s="68"/>
      <c r="G59" s="199">
        <f>HLOOKUP('Descripcion Actividades'!C11,Valimpacto!B84:G99,9)*(IF('Eval Factores de Riesgo'!$CY$24=1,0.8,IF('Eval Factores de Riesgo'!$CY$24=2,0.9,IF('Eval Factores de Riesgo'!$CY$24=3,1,IF('Eval Factores de Riesgo'!$CY$24=4,1.1,1.2)))))</f>
        <v>0</v>
      </c>
      <c r="H59" s="205" t="str">
        <f>IF(B31&lt;&gt;"",'Eval Factores de Riesgo'!$CX$24,"")</f>
        <v/>
      </c>
      <c r="I59" s="200" t="str">
        <f>IF(B59&lt;&gt;"",IF(G59&lt;='cap.7 - analisis riesgos'!$J$15,'cap.7 - analisis riesgos'!$H$15,IF(G59&lt;='cap.7 - analisis riesgos'!$J$16,'cap.7 - analisis riesgos'!$H$16,IF(G59&lt;='cap.7 - analisis riesgos'!$J$17,'cap.7 - analisis riesgos'!$H$17,IF(G59&lt;='cap.7 - analisis riesgos'!$J$18,'cap.7 - analisis riesgos'!$H$18,'cap.7 - analisis riesgos'!$H$19)))),"")</f>
        <v/>
      </c>
      <c r="J59" s="201" t="str">
        <f t="shared" si="4"/>
        <v/>
      </c>
      <c r="K59" s="202" t="str">
        <f t="shared" si="5"/>
        <v/>
      </c>
      <c r="L59" s="203" t="e">
        <f t="shared" si="10"/>
        <v>#VALUE!</v>
      </c>
      <c r="M59" s="203"/>
      <c r="N59" s="11"/>
      <c r="O59" s="11"/>
      <c r="P59" s="11"/>
      <c r="Q59" s="11"/>
      <c r="R59" s="111"/>
      <c r="S59" s="111"/>
      <c r="T59" s="203"/>
      <c r="U59" s="203"/>
    </row>
    <row r="60" spans="1:21" s="204" customFormat="1" ht="45" customHeight="1" x14ac:dyDescent="0.25">
      <c r="A60" s="197"/>
      <c r="B60" s="198" t="str">
        <f t="shared" si="11"/>
        <v/>
      </c>
      <c r="C60" s="66"/>
      <c r="D60" s="66"/>
      <c r="E60" s="67" t="e">
        <f t="shared" si="9"/>
        <v>#VALUE!</v>
      </c>
      <c r="F60" s="68"/>
      <c r="G60" s="199">
        <f>HLOOKUP('Descripcion Actividades'!C11,Valimpacto!B84:G99,10)*(IF('Eval Factores de Riesgo'!$CY$24=1,0.8,IF('Eval Factores de Riesgo'!$CY$24=2,0.9,IF('Eval Factores de Riesgo'!$CY$24=3,1,IF('Eval Factores de Riesgo'!$CY$24=4,1.1,1.2)))))</f>
        <v>0</v>
      </c>
      <c r="H60" s="205" t="str">
        <f>IF(B32&lt;&gt;"",'Eval Factores de Riesgo'!$CX$24,"")</f>
        <v/>
      </c>
      <c r="I60" s="200" t="str">
        <f>IF(B60&lt;&gt;"",IF(G60&lt;='cap.7 - analisis riesgos'!$J$15,'cap.7 - analisis riesgos'!$H$15,IF(G60&lt;='cap.7 - analisis riesgos'!$J$16,'cap.7 - analisis riesgos'!$H$16,IF(G60&lt;='cap.7 - analisis riesgos'!$J$17,'cap.7 - analisis riesgos'!$H$17,IF(G60&lt;='cap.7 - analisis riesgos'!$J$18,'cap.7 - analisis riesgos'!$H$18,'cap.7 - analisis riesgos'!$H$19)))),"")</f>
        <v/>
      </c>
      <c r="J60" s="201" t="str">
        <f t="shared" si="4"/>
        <v/>
      </c>
      <c r="K60" s="202" t="str">
        <f t="shared" si="5"/>
        <v/>
      </c>
      <c r="L60" s="203" t="e">
        <f t="shared" si="10"/>
        <v>#VALUE!</v>
      </c>
      <c r="M60" s="203"/>
      <c r="N60" s="11"/>
      <c r="O60" s="11"/>
      <c r="P60" s="11"/>
      <c r="Q60" s="11"/>
      <c r="R60" s="111"/>
      <c r="S60" s="111"/>
      <c r="T60" s="203"/>
      <c r="U60" s="203"/>
    </row>
    <row r="61" spans="1:21" s="204" customFormat="1" ht="45" customHeight="1" x14ac:dyDescent="0.25">
      <c r="A61" s="197"/>
      <c r="B61" s="198" t="str">
        <f t="shared" si="11"/>
        <v/>
      </c>
      <c r="C61" s="66"/>
      <c r="D61" s="66"/>
      <c r="E61" s="67" t="e">
        <f t="shared" si="9"/>
        <v>#VALUE!</v>
      </c>
      <c r="F61" s="68"/>
      <c r="G61" s="199">
        <f>HLOOKUP('Descripcion Actividades'!C11,Valimpacto!B84:G99,11)*(IF('Eval Factores de Riesgo'!$CY$24=1,0.8,IF('Eval Factores de Riesgo'!$CY$24=2,0.9,IF('Eval Factores de Riesgo'!$CY$24=3,1,IF('Eval Factores de Riesgo'!$CY$24=4,1.1,1.2)))))</f>
        <v>0</v>
      </c>
      <c r="H61" s="205" t="str">
        <f>IF(B33&lt;&gt;"",'Eval Factores de Riesgo'!$CX$24,"")</f>
        <v/>
      </c>
      <c r="I61" s="200" t="str">
        <f>IF(B61&lt;&gt;"",IF(G61&lt;='cap.7 - analisis riesgos'!$J$15,'cap.7 - analisis riesgos'!$H$15,IF(G61&lt;='cap.7 - analisis riesgos'!$J$16,'cap.7 - analisis riesgos'!$H$16,IF(G61&lt;='cap.7 - analisis riesgos'!$J$17,'cap.7 - analisis riesgos'!$H$17,IF(G61&lt;='cap.7 - analisis riesgos'!$J$18,'cap.7 - analisis riesgos'!$H$18,'cap.7 - analisis riesgos'!$H$19)))),"")</f>
        <v/>
      </c>
      <c r="J61" s="201" t="str">
        <f t="shared" si="4"/>
        <v/>
      </c>
      <c r="K61" s="202" t="str">
        <f t="shared" si="5"/>
        <v/>
      </c>
      <c r="L61" s="203" t="e">
        <f t="shared" si="10"/>
        <v>#VALUE!</v>
      </c>
      <c r="M61" s="203"/>
      <c r="N61" s="11"/>
      <c r="O61" s="11"/>
      <c r="P61" s="11"/>
      <c r="Q61" s="11"/>
      <c r="R61" s="111"/>
      <c r="S61" s="111"/>
      <c r="T61" s="203"/>
      <c r="U61" s="203"/>
    </row>
    <row r="62" spans="1:21" s="204" customFormat="1" ht="45" customHeight="1" x14ac:dyDescent="0.25">
      <c r="A62" s="197"/>
      <c r="B62" s="198" t="str">
        <f t="shared" si="11"/>
        <v/>
      </c>
      <c r="C62" s="66"/>
      <c r="D62" s="66"/>
      <c r="E62" s="67" t="e">
        <f t="shared" si="9"/>
        <v>#VALUE!</v>
      </c>
      <c r="F62" s="68"/>
      <c r="G62" s="199">
        <f>HLOOKUP('Descripcion Actividades'!C11,Valimpacto!B84:G99,12)*(IF('Eval Factores de Riesgo'!$CY$24=1,0.8,IF('Eval Factores de Riesgo'!$CY$24=2,0.9,IF('Eval Factores de Riesgo'!$CY$24=3,1,IF('Eval Factores de Riesgo'!$CY$24=4,1.1,1.2)))))</f>
        <v>0</v>
      </c>
      <c r="H62" s="205" t="str">
        <f>IF(B34&lt;&gt;"",'Eval Factores de Riesgo'!$CX$24,"")</f>
        <v/>
      </c>
      <c r="I62" s="200" t="str">
        <f>IF(B62&lt;&gt;"",IF(G62&lt;='cap.7 - analisis riesgos'!$J$15,'cap.7 - analisis riesgos'!$H$15,IF(G62&lt;='cap.7 - analisis riesgos'!$J$16,'cap.7 - analisis riesgos'!$H$16,IF(G62&lt;='cap.7 - analisis riesgos'!$J$17,'cap.7 - analisis riesgos'!$H$17,IF(G62&lt;='cap.7 - analisis riesgos'!$J$18,'cap.7 - analisis riesgos'!$H$18,'cap.7 - analisis riesgos'!$H$19)))),"")</f>
        <v/>
      </c>
      <c r="J62" s="201" t="str">
        <f t="shared" si="4"/>
        <v/>
      </c>
      <c r="K62" s="202" t="str">
        <f t="shared" si="5"/>
        <v/>
      </c>
      <c r="L62" s="203" t="e">
        <f t="shared" si="10"/>
        <v>#VALUE!</v>
      </c>
      <c r="M62" s="203"/>
      <c r="N62" s="11"/>
      <c r="O62" s="11"/>
      <c r="P62" s="11"/>
      <c r="Q62" s="11"/>
      <c r="R62" s="111"/>
      <c r="S62" s="111"/>
      <c r="T62" s="203"/>
      <c r="U62" s="203"/>
    </row>
    <row r="63" spans="1:21" x14ac:dyDescent="0.25">
      <c r="B63" s="62"/>
      <c r="C63" s="62"/>
      <c r="D63" s="62"/>
      <c r="E63" s="62"/>
      <c r="F63" s="62"/>
      <c r="G63" s="76"/>
      <c r="H63" s="62"/>
      <c r="I63" s="62"/>
      <c r="J63" s="10" t="str">
        <f t="shared" si="4"/>
        <v/>
      </c>
      <c r="K63" s="107" t="str">
        <f t="shared" si="5"/>
        <v/>
      </c>
      <c r="L63" s="10"/>
      <c r="M63" s="10"/>
      <c r="N63" s="11"/>
      <c r="O63" s="11"/>
      <c r="P63" s="11"/>
      <c r="Q63" s="11"/>
      <c r="R63" s="111"/>
      <c r="S63" s="111"/>
      <c r="T63" s="10"/>
      <c r="U63" s="10"/>
    </row>
    <row r="64" spans="1:21" ht="15.75" x14ac:dyDescent="0.25">
      <c r="B64" s="218" t="s">
        <v>25</v>
      </c>
      <c r="F64" s="75" t="str">
        <f>F50</f>
        <v>Fase 1</v>
      </c>
      <c r="G64" s="219"/>
      <c r="H64" s="217"/>
      <c r="I64" s="217"/>
      <c r="J64" s="10" t="str">
        <f t="shared" si="4"/>
        <v/>
      </c>
      <c r="K64" s="107" t="str">
        <f t="shared" si="5"/>
        <v/>
      </c>
      <c r="L64" s="10"/>
      <c r="M64" s="10"/>
      <c r="N64" s="11"/>
      <c r="O64" s="11"/>
      <c r="P64" s="11"/>
      <c r="Q64" s="11"/>
      <c r="R64" s="111"/>
      <c r="S64" s="111"/>
      <c r="T64" s="10"/>
      <c r="U64" s="10"/>
    </row>
    <row r="65" spans="1:21" x14ac:dyDescent="0.25">
      <c r="B65" s="59"/>
      <c r="C65" s="59"/>
      <c r="D65" s="59"/>
      <c r="E65" s="59"/>
      <c r="F65" s="59"/>
      <c r="G65" s="219"/>
      <c r="H65" s="217"/>
      <c r="I65" s="217"/>
      <c r="J65" s="10" t="str">
        <f t="shared" si="4"/>
        <v/>
      </c>
      <c r="K65" s="107" t="str">
        <f t="shared" si="5"/>
        <v/>
      </c>
      <c r="L65" s="10"/>
      <c r="M65" s="10"/>
      <c r="N65" s="11"/>
      <c r="O65" s="11"/>
      <c r="P65" s="11"/>
      <c r="Q65" s="11"/>
      <c r="R65" s="111"/>
      <c r="S65" s="111"/>
      <c r="T65" s="10"/>
      <c r="U65" s="10"/>
    </row>
    <row r="66" spans="1:21" x14ac:dyDescent="0.25">
      <c r="A66" s="60"/>
      <c r="B66" s="9" t="s">
        <v>33</v>
      </c>
      <c r="C66" s="9" t="s">
        <v>34</v>
      </c>
      <c r="D66" s="9" t="s">
        <v>35</v>
      </c>
      <c r="E66" s="9" t="s">
        <v>36</v>
      </c>
      <c r="F66" s="9" t="s">
        <v>37</v>
      </c>
      <c r="G66" s="220"/>
      <c r="H66" s="213" t="s">
        <v>564</v>
      </c>
      <c r="I66" s="213" t="s">
        <v>565</v>
      </c>
      <c r="J66" s="10" t="str">
        <f t="shared" si="4"/>
        <v/>
      </c>
      <c r="K66" s="107" t="str">
        <f t="shared" si="5"/>
        <v/>
      </c>
      <c r="L66" s="10"/>
      <c r="M66" s="10"/>
      <c r="N66" s="11"/>
      <c r="O66" s="11"/>
      <c r="P66" s="11"/>
      <c r="Q66" s="11"/>
      <c r="R66" s="111"/>
      <c r="S66" s="111"/>
      <c r="T66" s="10"/>
      <c r="U66" s="10"/>
    </row>
    <row r="67" spans="1:21" s="204" customFormat="1" ht="45" customHeight="1" x14ac:dyDescent="0.25">
      <c r="A67" s="197"/>
      <c r="B67" s="198" t="str">
        <f>B53</f>
        <v>Costo personal</v>
      </c>
      <c r="C67" s="66" t="s">
        <v>8</v>
      </c>
      <c r="D67" s="66" t="s">
        <v>13</v>
      </c>
      <c r="E67" s="67" t="str">
        <f t="shared" ref="E67:E76" si="12">IF(OR(L67=5,L67=10),"Bajo",IF(OR(L67=15,L67=20,L67=30,L67=40,L67=45),"Moderado",IF(OR(L67=22,L67=25,L67=44,L67=50,L67=60,L67=66,L67=75,L67=88,L67=100),"Considerable",IF(OR(L67=27,L67=54,L67=81,L67=108,L67=135),"Significativo",""))))</f>
        <v>Moderado</v>
      </c>
      <c r="F67" s="68" t="s">
        <v>563</v>
      </c>
      <c r="G67" s="199">
        <f>HLOOKUP('Descripcion Actividades'!C11,Valimpacto!B84:G99,3)*(IF('Eval Factores de Riesgo'!$CY$33=1,0.8,IF('Eval Factores de Riesgo'!$CY$33=2,0.9,IF('Eval Factores de Riesgo'!$CY$33=3,1,IF('Eval Factores de Riesgo'!$CY$33=4,1.1,1.2)))))</f>
        <v>91400668.928225994</v>
      </c>
      <c r="H67" s="205" t="str">
        <f>IF(B25&lt;&gt;"",'Eval Factores de Riesgo'!$CX$33,"")</f>
        <v>Posible</v>
      </c>
      <c r="I67" s="200" t="str">
        <f>IF(B67&lt;&gt;"",IF(G67&lt;='cap.7 - analisis riesgos'!$J$15,'cap.7 - analisis riesgos'!$H$15,IF(G67&lt;='cap.7 - analisis riesgos'!$J$16,'cap.7 - analisis riesgos'!$H$16,IF(G67&lt;='cap.7 - analisis riesgos'!$J$17,'cap.7 - analisis riesgos'!$H$17,IF(G67&lt;='cap.7 - analisis riesgos'!$J$18,'cap.7 - analisis riesgos'!$H$18,'cap.7 - analisis riesgos'!$H$19)))),"")</f>
        <v>Moderado</v>
      </c>
      <c r="J67" s="201">
        <f t="shared" si="4"/>
        <v>4</v>
      </c>
      <c r="K67" s="202">
        <f t="shared" si="5"/>
        <v>10</v>
      </c>
      <c r="L67" s="203">
        <f t="shared" si="10"/>
        <v>40</v>
      </c>
      <c r="M67" s="203"/>
      <c r="N67" s="11"/>
      <c r="O67" s="11"/>
      <c r="P67" s="11"/>
      <c r="Q67" s="11"/>
      <c r="R67" s="111"/>
      <c r="S67" s="111"/>
      <c r="T67" s="203"/>
      <c r="U67" s="203"/>
    </row>
    <row r="68" spans="1:21" s="204" customFormat="1" ht="45" customHeight="1" x14ac:dyDescent="0.25">
      <c r="A68" s="197"/>
      <c r="B68" s="198" t="str">
        <f t="shared" ref="B68:B76" si="13">B54</f>
        <v>Costos indirectos</v>
      </c>
      <c r="C68" s="66" t="s">
        <v>8</v>
      </c>
      <c r="D68" s="66" t="s">
        <v>13</v>
      </c>
      <c r="E68" s="67" t="str">
        <f t="shared" si="12"/>
        <v>Moderado</v>
      </c>
      <c r="F68" s="68" t="s">
        <v>563</v>
      </c>
      <c r="G68" s="199">
        <f>HLOOKUP('Descripcion Actividades'!C11,Valimpacto!B84:G99,4)*(IF('Eval Factores de Riesgo'!$CY$33=1,0.8,IF('Eval Factores de Riesgo'!$CY$33=2,0.9,IF('Eval Factores de Riesgo'!$CY$33=3,1,IF('Eval Factores de Riesgo'!$CY$33=4,1.1,1.2)))))</f>
        <v>42008636.475000001</v>
      </c>
      <c r="H68" s="205" t="str">
        <f>IF(B26&lt;&gt;"",'Eval Factores de Riesgo'!$CX$33,"")</f>
        <v>Posible</v>
      </c>
      <c r="I68" s="200" t="str">
        <f>IF(B68&lt;&gt;"",IF(G68&lt;='cap.7 - analisis riesgos'!$J$15,'cap.7 - analisis riesgos'!$H$15,IF(G68&lt;='cap.7 - analisis riesgos'!$J$16,'cap.7 - analisis riesgos'!$H$16,IF(G68&lt;='cap.7 - analisis riesgos'!$J$17,'cap.7 - analisis riesgos'!$H$17,IF(G68&lt;='cap.7 - analisis riesgos'!$J$18,'cap.7 - analisis riesgos'!$H$18,'cap.7 - analisis riesgos'!$H$19)))),"")</f>
        <v>Menor</v>
      </c>
      <c r="J68" s="201">
        <f t="shared" si="4"/>
        <v>4</v>
      </c>
      <c r="K68" s="202">
        <f t="shared" si="5"/>
        <v>10</v>
      </c>
      <c r="L68" s="203">
        <f t="shared" si="10"/>
        <v>40</v>
      </c>
      <c r="M68" s="203"/>
      <c r="N68" s="11"/>
      <c r="O68" s="11"/>
      <c r="P68" s="11"/>
      <c r="Q68" s="11"/>
      <c r="R68" s="111"/>
      <c r="S68" s="111"/>
      <c r="T68" s="203"/>
      <c r="U68" s="203"/>
    </row>
    <row r="69" spans="1:21" s="204" customFormat="1" ht="45" customHeight="1" x14ac:dyDescent="0.25">
      <c r="A69" s="197"/>
      <c r="B69" s="198" t="str">
        <f t="shared" si="13"/>
        <v/>
      </c>
      <c r="C69" s="66"/>
      <c r="D69" s="66"/>
      <c r="E69" s="67" t="e">
        <f t="shared" si="12"/>
        <v>#VALUE!</v>
      </c>
      <c r="F69" s="68" t="s">
        <v>563</v>
      </c>
      <c r="G69" s="199">
        <f>HLOOKUP('Descripcion Actividades'!C11,Valimpacto!B84:G99,5)*(IF('Eval Factores de Riesgo'!$CY$33=1,0.8,IF('Eval Factores de Riesgo'!$CY$33=2,0.9,IF('Eval Factores de Riesgo'!$CY$33=3,1,IF('Eval Factores de Riesgo'!$CY$33=4,1.1,1.2)))))</f>
        <v>0</v>
      </c>
      <c r="H69" s="205" t="str">
        <f>IF(B27&lt;&gt;"",'Eval Factores de Riesgo'!$CX$33,"")</f>
        <v/>
      </c>
      <c r="I69" s="200" t="str">
        <f>IF(B69&lt;&gt;"",IF(G69&lt;='cap.7 - analisis riesgos'!$J$15,'cap.7 - analisis riesgos'!$H$15,IF(G69&lt;='cap.7 - analisis riesgos'!$J$16,'cap.7 - analisis riesgos'!$H$16,IF(G69&lt;='cap.7 - analisis riesgos'!$J$17,'cap.7 - analisis riesgos'!$H$17,IF(G69&lt;='cap.7 - analisis riesgos'!$J$18,'cap.7 - analisis riesgos'!$H$18,'cap.7 - analisis riesgos'!$H$19)))),"")</f>
        <v/>
      </c>
      <c r="J69" s="201" t="str">
        <f t="shared" si="4"/>
        <v/>
      </c>
      <c r="K69" s="202" t="str">
        <f t="shared" si="5"/>
        <v/>
      </c>
      <c r="L69" s="203" t="e">
        <f t="shared" si="10"/>
        <v>#VALUE!</v>
      </c>
      <c r="M69" s="203"/>
      <c r="N69" s="11"/>
      <c r="O69" s="11"/>
      <c r="P69" s="11"/>
      <c r="Q69" s="11"/>
      <c r="R69" s="111"/>
      <c r="S69" s="111"/>
      <c r="T69" s="203"/>
      <c r="U69" s="203"/>
    </row>
    <row r="70" spans="1:21" s="204" customFormat="1" ht="45" customHeight="1" x14ac:dyDescent="0.25">
      <c r="A70" s="197"/>
      <c r="B70" s="198" t="str">
        <f t="shared" si="13"/>
        <v/>
      </c>
      <c r="C70" s="66"/>
      <c r="D70" s="66"/>
      <c r="E70" s="67" t="e">
        <f t="shared" si="12"/>
        <v>#VALUE!</v>
      </c>
      <c r="F70" s="68"/>
      <c r="G70" s="199">
        <f>HLOOKUP('Descripcion Actividades'!C11,Valimpacto!B84:G99,6)*(IF('Eval Factores de Riesgo'!$CY$33=1,0.8,IF('Eval Factores de Riesgo'!$CY$33=2,0.9,IF('Eval Factores de Riesgo'!$CY$33=3,1,IF('Eval Factores de Riesgo'!$CY$33=4,1.1,1.2)))))</f>
        <v>0</v>
      </c>
      <c r="H70" s="205" t="str">
        <f>IF(B28&lt;&gt;"",'Eval Factores de Riesgo'!$CX$33,"")</f>
        <v/>
      </c>
      <c r="I70" s="200" t="str">
        <f>IF(B70&lt;&gt;"",IF(G70&lt;='cap.7 - analisis riesgos'!$J$15,'cap.7 - analisis riesgos'!$H$15,IF(G70&lt;='cap.7 - analisis riesgos'!$J$16,'cap.7 - analisis riesgos'!$H$16,IF(G70&lt;='cap.7 - analisis riesgos'!$J$17,'cap.7 - analisis riesgos'!$H$17,IF(G70&lt;='cap.7 - analisis riesgos'!$J$18,'cap.7 - analisis riesgos'!$H$18,'cap.7 - analisis riesgos'!$H$19)))),"")</f>
        <v/>
      </c>
      <c r="J70" s="201" t="str">
        <f t="shared" si="4"/>
        <v/>
      </c>
      <c r="K70" s="202" t="str">
        <f t="shared" si="5"/>
        <v/>
      </c>
      <c r="L70" s="203" t="e">
        <f t="shared" si="10"/>
        <v>#VALUE!</v>
      </c>
      <c r="M70" s="203"/>
      <c r="N70" s="11"/>
      <c r="O70" s="11"/>
      <c r="P70" s="11"/>
      <c r="Q70" s="11"/>
      <c r="R70" s="111"/>
      <c r="S70" s="111"/>
      <c r="T70" s="203"/>
      <c r="U70" s="203"/>
    </row>
    <row r="71" spans="1:21" s="204" customFormat="1" ht="45" customHeight="1" x14ac:dyDescent="0.25">
      <c r="A71" s="197"/>
      <c r="B71" s="198" t="str">
        <f t="shared" si="13"/>
        <v/>
      </c>
      <c r="C71" s="66"/>
      <c r="D71" s="66"/>
      <c r="E71" s="67" t="e">
        <f t="shared" si="12"/>
        <v>#VALUE!</v>
      </c>
      <c r="F71" s="68"/>
      <c r="G71" s="199">
        <f>HLOOKUP('Descripcion Actividades'!C11,Valimpacto!B84:G99,7)*(IF('Eval Factores de Riesgo'!$CY$33=1,0.8,IF('Eval Factores de Riesgo'!$CY$33=2,0.9,IF('Eval Factores de Riesgo'!$CY$33=3,1,IF('Eval Factores de Riesgo'!$CY$33=4,1.1,1.2)))))</f>
        <v>0</v>
      </c>
      <c r="H71" s="205" t="str">
        <f>IF(B29&lt;&gt;"",'Eval Factores de Riesgo'!$CX$33,"")</f>
        <v/>
      </c>
      <c r="I71" s="200" t="str">
        <f>IF(B71&lt;&gt;"",IF(G71&lt;='cap.7 - analisis riesgos'!$J$15,'cap.7 - analisis riesgos'!$H$15,IF(G71&lt;='cap.7 - analisis riesgos'!$J$16,'cap.7 - analisis riesgos'!$H$16,IF(G71&lt;='cap.7 - analisis riesgos'!$J$17,'cap.7 - analisis riesgos'!$H$17,IF(G71&lt;='cap.7 - analisis riesgos'!$J$18,'cap.7 - analisis riesgos'!$H$18,'cap.7 - analisis riesgos'!$H$19)))),"")</f>
        <v/>
      </c>
      <c r="J71" s="201" t="str">
        <f t="shared" si="4"/>
        <v/>
      </c>
      <c r="K71" s="202" t="str">
        <f t="shared" si="5"/>
        <v/>
      </c>
      <c r="L71" s="203" t="e">
        <f t="shared" si="10"/>
        <v>#VALUE!</v>
      </c>
      <c r="M71" s="203"/>
      <c r="N71" s="11"/>
      <c r="O71" s="11"/>
      <c r="P71" s="11"/>
      <c r="Q71" s="11"/>
      <c r="R71" s="111"/>
      <c r="S71" s="111"/>
      <c r="T71" s="203"/>
      <c r="U71" s="203"/>
    </row>
    <row r="72" spans="1:21" s="204" customFormat="1" ht="45" customHeight="1" x14ac:dyDescent="0.25">
      <c r="A72" s="197"/>
      <c r="B72" s="198" t="str">
        <f t="shared" si="13"/>
        <v/>
      </c>
      <c r="C72" s="66"/>
      <c r="D72" s="66"/>
      <c r="E72" s="67" t="e">
        <f t="shared" si="12"/>
        <v>#VALUE!</v>
      </c>
      <c r="F72" s="68"/>
      <c r="G72" s="199">
        <f>HLOOKUP('Descripcion Actividades'!C11,Valimpacto!B84:G99,8)*(IF('Eval Factores de Riesgo'!$CY$33=1,0.8,IF('Eval Factores de Riesgo'!$CY$33=2,0.9,IF('Eval Factores de Riesgo'!$CY$33=3,1,IF('Eval Factores de Riesgo'!$CY$33=4,1.1,1.2)))))</f>
        <v>0</v>
      </c>
      <c r="H72" s="205" t="str">
        <f>IF(B30&lt;&gt;"",'Eval Factores de Riesgo'!$CX$33,"")</f>
        <v/>
      </c>
      <c r="I72" s="200" t="str">
        <f>IF(B72&lt;&gt;"",IF(G72&lt;='cap.7 - analisis riesgos'!$J$15,'cap.7 - analisis riesgos'!$H$15,IF(G72&lt;='cap.7 - analisis riesgos'!$J$16,'cap.7 - analisis riesgos'!$H$16,IF(G72&lt;='cap.7 - analisis riesgos'!$J$17,'cap.7 - analisis riesgos'!$H$17,IF(G72&lt;='cap.7 - analisis riesgos'!$J$18,'cap.7 - analisis riesgos'!$H$18,'cap.7 - analisis riesgos'!$H$19)))),"")</f>
        <v/>
      </c>
      <c r="J72" s="201" t="str">
        <f t="shared" si="4"/>
        <v/>
      </c>
      <c r="K72" s="202" t="str">
        <f t="shared" si="5"/>
        <v/>
      </c>
      <c r="L72" s="203" t="e">
        <f t="shared" si="10"/>
        <v>#VALUE!</v>
      </c>
      <c r="M72" s="203"/>
      <c r="N72" s="11"/>
      <c r="O72" s="11"/>
      <c r="P72" s="11"/>
      <c r="Q72" s="11"/>
      <c r="R72" s="111"/>
      <c r="S72" s="111"/>
      <c r="T72" s="203"/>
      <c r="U72" s="203"/>
    </row>
    <row r="73" spans="1:21" s="204" customFormat="1" ht="45" customHeight="1" x14ac:dyDescent="0.25">
      <c r="A73" s="197"/>
      <c r="B73" s="198" t="str">
        <f t="shared" si="13"/>
        <v/>
      </c>
      <c r="C73" s="66"/>
      <c r="D73" s="66"/>
      <c r="E73" s="67" t="e">
        <f t="shared" si="12"/>
        <v>#VALUE!</v>
      </c>
      <c r="F73" s="68"/>
      <c r="G73" s="199">
        <f>HLOOKUP('Descripcion Actividades'!C11,Valimpacto!B84:G99,9)*(IF('Eval Factores de Riesgo'!$CY$33=1,0.8,IF('Eval Factores de Riesgo'!$CY$33=2,0.9,IF('Eval Factores de Riesgo'!$CY$33=3,1,IF('Eval Factores de Riesgo'!$CY$33=4,1.1,1.2)))))</f>
        <v>0</v>
      </c>
      <c r="H73" s="205" t="str">
        <f>IF(B31&lt;&gt;"",'Eval Factores de Riesgo'!$CX$33,"")</f>
        <v/>
      </c>
      <c r="I73" s="200" t="str">
        <f>IF(B73&lt;&gt;"",IF(G73&lt;='cap.7 - analisis riesgos'!$J$15,'cap.7 - analisis riesgos'!$H$15,IF(G73&lt;='cap.7 - analisis riesgos'!$J$16,'cap.7 - analisis riesgos'!$H$16,IF(G73&lt;='cap.7 - analisis riesgos'!$J$17,'cap.7 - analisis riesgos'!$H$17,IF(G73&lt;='cap.7 - analisis riesgos'!$J$18,'cap.7 - analisis riesgos'!$H$18,'cap.7 - analisis riesgos'!$H$19)))),"")</f>
        <v/>
      </c>
      <c r="J73" s="201" t="str">
        <f t="shared" si="4"/>
        <v/>
      </c>
      <c r="K73" s="202" t="str">
        <f t="shared" si="5"/>
        <v/>
      </c>
      <c r="L73" s="203" t="e">
        <f t="shared" si="10"/>
        <v>#VALUE!</v>
      </c>
      <c r="M73" s="203"/>
      <c r="N73" s="11"/>
      <c r="O73" s="11"/>
      <c r="P73" s="11"/>
      <c r="Q73" s="11"/>
      <c r="R73" s="111"/>
      <c r="S73" s="111"/>
      <c r="T73" s="203"/>
      <c r="U73" s="203"/>
    </row>
    <row r="74" spans="1:21" s="204" customFormat="1" ht="45" customHeight="1" x14ac:dyDescent="0.25">
      <c r="A74" s="197"/>
      <c r="B74" s="198" t="str">
        <f t="shared" si="13"/>
        <v/>
      </c>
      <c r="C74" s="66"/>
      <c r="D74" s="66"/>
      <c r="E74" s="67" t="e">
        <f t="shared" si="12"/>
        <v>#VALUE!</v>
      </c>
      <c r="F74" s="68"/>
      <c r="G74" s="199">
        <f>HLOOKUP('Descripcion Actividades'!C11,Valimpacto!B84:G99,10)*(IF('Eval Factores de Riesgo'!$CY$33=1,0.8,IF('Eval Factores de Riesgo'!$CY$33=2,0.9,IF('Eval Factores de Riesgo'!$CY$33=3,1,IF('Eval Factores de Riesgo'!$CY$33=4,1.1,1.2)))))</f>
        <v>0</v>
      </c>
      <c r="H74" s="205" t="str">
        <f>IF(B32&lt;&gt;"",'Eval Factores de Riesgo'!$CX$33,"")</f>
        <v/>
      </c>
      <c r="I74" s="200" t="str">
        <f>IF(B74&lt;&gt;"",IF(G74&lt;='cap.7 - analisis riesgos'!$J$15,'cap.7 - analisis riesgos'!$H$15,IF(G74&lt;='cap.7 - analisis riesgos'!$J$16,'cap.7 - analisis riesgos'!$H$16,IF(G74&lt;='cap.7 - analisis riesgos'!$J$17,'cap.7 - analisis riesgos'!$H$17,IF(G74&lt;='cap.7 - analisis riesgos'!$J$18,'cap.7 - analisis riesgos'!$H$18,'cap.7 - analisis riesgos'!$H$19)))),"")</f>
        <v/>
      </c>
      <c r="J74" s="201" t="str">
        <f t="shared" si="4"/>
        <v/>
      </c>
      <c r="K74" s="202" t="str">
        <f t="shared" si="5"/>
        <v/>
      </c>
      <c r="L74" s="203" t="e">
        <f t="shared" si="10"/>
        <v>#VALUE!</v>
      </c>
      <c r="M74" s="203"/>
      <c r="N74" s="11"/>
      <c r="O74" s="11"/>
      <c r="P74" s="11"/>
      <c r="Q74" s="11"/>
      <c r="R74" s="111"/>
      <c r="S74" s="111"/>
      <c r="T74" s="203"/>
      <c r="U74" s="203"/>
    </row>
    <row r="75" spans="1:21" s="204" customFormat="1" ht="45" customHeight="1" x14ac:dyDescent="0.25">
      <c r="A75" s="197"/>
      <c r="B75" s="198" t="str">
        <f t="shared" si="13"/>
        <v/>
      </c>
      <c r="C75" s="66"/>
      <c r="D75" s="66"/>
      <c r="E75" s="67" t="e">
        <f t="shared" si="12"/>
        <v>#VALUE!</v>
      </c>
      <c r="F75" s="68"/>
      <c r="G75" s="199">
        <f>HLOOKUP('Descripcion Actividades'!C11,Valimpacto!B84:G99,11)*(IF('Eval Factores de Riesgo'!$CY$33=1,0.8,IF('Eval Factores de Riesgo'!$CY$33=2,0.9,IF('Eval Factores de Riesgo'!$CY$33=3,1,IF('Eval Factores de Riesgo'!$CY$33=4,1.1,1.2)))))</f>
        <v>0</v>
      </c>
      <c r="H75" s="205" t="str">
        <f>IF(B33&lt;&gt;"",'Eval Factores de Riesgo'!$CX$33,"")</f>
        <v/>
      </c>
      <c r="I75" s="200" t="str">
        <f>IF(B75&lt;&gt;"",IF(G75&lt;='cap.7 - analisis riesgos'!$J$15,'cap.7 - analisis riesgos'!$H$15,IF(G75&lt;='cap.7 - analisis riesgos'!$J$16,'cap.7 - analisis riesgos'!$H$16,IF(G75&lt;='cap.7 - analisis riesgos'!$J$17,'cap.7 - analisis riesgos'!$H$17,IF(G75&lt;='cap.7 - analisis riesgos'!$J$18,'cap.7 - analisis riesgos'!$H$18,'cap.7 - analisis riesgos'!$H$19)))),"")</f>
        <v/>
      </c>
      <c r="J75" s="201" t="str">
        <f t="shared" si="4"/>
        <v/>
      </c>
      <c r="K75" s="202" t="str">
        <f t="shared" si="5"/>
        <v/>
      </c>
      <c r="L75" s="203" t="e">
        <f t="shared" si="10"/>
        <v>#VALUE!</v>
      </c>
      <c r="M75" s="203"/>
      <c r="N75" s="11"/>
      <c r="O75" s="11"/>
      <c r="P75" s="11"/>
      <c r="Q75" s="11"/>
      <c r="R75" s="111"/>
      <c r="S75" s="111"/>
      <c r="T75" s="203"/>
      <c r="U75" s="203"/>
    </row>
    <row r="76" spans="1:21" s="204" customFormat="1" ht="45" customHeight="1" x14ac:dyDescent="0.25">
      <c r="A76" s="197"/>
      <c r="B76" s="198" t="str">
        <f t="shared" si="13"/>
        <v/>
      </c>
      <c r="C76" s="66"/>
      <c r="D76" s="66"/>
      <c r="E76" s="67" t="e">
        <f t="shared" si="12"/>
        <v>#VALUE!</v>
      </c>
      <c r="F76" s="68"/>
      <c r="G76" s="199">
        <f>HLOOKUP('Descripcion Actividades'!C11,Valimpacto!B84:G99,12)*(IF('Eval Factores de Riesgo'!$CY$33=1,0.8,IF('Eval Factores de Riesgo'!$CY$33=2,0.9,IF('Eval Factores de Riesgo'!$CY$33=3,1,IF('Eval Factores de Riesgo'!$CY$33=4,1.1,1.2)))))</f>
        <v>0</v>
      </c>
      <c r="H76" s="205" t="str">
        <f>IF(B34&lt;&gt;"",'Eval Factores de Riesgo'!$CX$33,"")</f>
        <v/>
      </c>
      <c r="I76" s="200" t="str">
        <f>IF(B76&lt;&gt;"",IF(G76&lt;='cap.7 - analisis riesgos'!$J$15,'cap.7 - analisis riesgos'!$H$15,IF(G76&lt;='cap.7 - analisis riesgos'!$J$16,'cap.7 - analisis riesgos'!$H$16,IF(G76&lt;='cap.7 - analisis riesgos'!$J$17,'cap.7 - analisis riesgos'!$H$17,IF(G76&lt;='cap.7 - analisis riesgos'!$J$18,'cap.7 - analisis riesgos'!$H$18,'cap.7 - analisis riesgos'!$H$19)))),"")</f>
        <v/>
      </c>
      <c r="J76" s="201" t="str">
        <f t="shared" si="4"/>
        <v/>
      </c>
      <c r="K76" s="202" t="str">
        <f t="shared" si="5"/>
        <v/>
      </c>
      <c r="L76" s="203" t="e">
        <f t="shared" si="10"/>
        <v>#VALUE!</v>
      </c>
      <c r="M76" s="203"/>
      <c r="N76" s="11"/>
      <c r="O76" s="11"/>
      <c r="P76" s="11"/>
      <c r="Q76" s="11"/>
      <c r="R76" s="111"/>
      <c r="S76" s="111"/>
      <c r="T76" s="203"/>
      <c r="U76" s="203"/>
    </row>
    <row r="77" spans="1:21" x14ac:dyDescent="0.25">
      <c r="B77" s="62"/>
      <c r="C77" s="62"/>
      <c r="D77" s="62"/>
      <c r="E77" s="62"/>
      <c r="F77" s="62"/>
      <c r="G77" s="76"/>
      <c r="H77" s="62"/>
      <c r="I77" s="62"/>
      <c r="J77" s="10" t="str">
        <f t="shared" si="4"/>
        <v/>
      </c>
      <c r="K77" s="107" t="str">
        <f t="shared" si="5"/>
        <v/>
      </c>
      <c r="L77" s="10"/>
      <c r="M77" s="10"/>
      <c r="N77" s="11"/>
      <c r="O77" s="11"/>
      <c r="P77" s="11"/>
      <c r="Q77" s="11"/>
      <c r="R77" s="111"/>
      <c r="S77" s="111"/>
      <c r="T77" s="10"/>
      <c r="U77" s="10"/>
    </row>
    <row r="78" spans="1:21" ht="15.75" x14ac:dyDescent="0.25">
      <c r="B78" s="218" t="s">
        <v>26</v>
      </c>
      <c r="F78" s="75" t="str">
        <f>F64</f>
        <v>Fase 1</v>
      </c>
      <c r="G78" s="219"/>
      <c r="H78" s="217"/>
      <c r="I78" s="217"/>
      <c r="J78" s="10" t="str">
        <f t="shared" si="4"/>
        <v/>
      </c>
      <c r="K78" s="107" t="str">
        <f t="shared" si="5"/>
        <v/>
      </c>
      <c r="L78" s="10"/>
      <c r="M78" s="10"/>
      <c r="N78" s="11"/>
      <c r="O78" s="11"/>
      <c r="P78" s="11"/>
      <c r="Q78" s="11"/>
      <c r="R78" s="111"/>
      <c r="S78" s="111"/>
      <c r="T78" s="10"/>
      <c r="U78" s="10"/>
    </row>
    <row r="79" spans="1:21" x14ac:dyDescent="0.25">
      <c r="B79" s="59"/>
      <c r="C79" s="59"/>
      <c r="D79" s="59"/>
      <c r="E79" s="59"/>
      <c r="F79" s="59"/>
      <c r="G79" s="219"/>
      <c r="H79" s="217"/>
      <c r="I79" s="217"/>
      <c r="J79" s="10"/>
      <c r="K79" s="107"/>
      <c r="L79" s="10"/>
      <c r="M79" s="10"/>
      <c r="N79" s="11"/>
      <c r="O79" s="11"/>
      <c r="P79" s="11"/>
      <c r="Q79" s="11"/>
      <c r="R79" s="111"/>
      <c r="S79" s="111"/>
      <c r="T79" s="10"/>
      <c r="U79" s="10"/>
    </row>
    <row r="80" spans="1:21" x14ac:dyDescent="0.25">
      <c r="A80" s="60"/>
      <c r="B80" s="9" t="s">
        <v>33</v>
      </c>
      <c r="C80" s="9" t="s">
        <v>34</v>
      </c>
      <c r="D80" s="9" t="s">
        <v>35</v>
      </c>
      <c r="E80" s="9" t="s">
        <v>36</v>
      </c>
      <c r="F80" s="9" t="s">
        <v>37</v>
      </c>
      <c r="G80" s="220"/>
      <c r="H80" s="213" t="s">
        <v>564</v>
      </c>
      <c r="I80" s="213" t="s">
        <v>565</v>
      </c>
      <c r="J80" s="10" t="str">
        <f t="shared" ref="J80:J111" si="14">IF(C80="Raro",1,IF(C80="Poco Probable",2,IF(C80="Posible",3,IF(C80="Probable",4,IF(C80="Casi cierta",5,"")))))</f>
        <v/>
      </c>
      <c r="K80" s="107" t="str">
        <f t="shared" ref="K80:K111" si="15">IF(D80="Mínimo",5,IF(D80="Menor",10,IF(D80="Moderado",15,IF(D80="Mayor",22,IF(D80="Catastrófico",27,"")))))</f>
        <v/>
      </c>
      <c r="L80" s="10"/>
      <c r="M80" s="10"/>
      <c r="N80" s="11"/>
      <c r="O80" s="11"/>
      <c r="P80" s="11"/>
      <c r="Q80" s="11"/>
      <c r="R80" s="111"/>
      <c r="S80" s="111"/>
      <c r="T80" s="10"/>
      <c r="U80" s="10"/>
    </row>
    <row r="81" spans="1:21" s="204" customFormat="1" ht="45" customHeight="1" x14ac:dyDescent="0.25">
      <c r="A81" s="197"/>
      <c r="B81" s="198" t="str">
        <f>B67</f>
        <v>Costo personal</v>
      </c>
      <c r="C81" s="66" t="s">
        <v>8</v>
      </c>
      <c r="D81" s="66" t="s">
        <v>13</v>
      </c>
      <c r="E81" s="67" t="str">
        <f t="shared" ref="E81:E90" si="16">IF(OR(L81=5,L81=10),"Bajo",IF(OR(L81=15,L81=20,L81=30,L81=40,L81=45),"Moderado",IF(OR(L81=22,L81=25,L81=44,L81=50,L81=60,L81=66,L81=75,L81=88,L81=100),"Considerable",IF(OR(L81=27,L81=54,L81=81,L81=108,L81=135),"Significativo",""))))</f>
        <v>Moderado</v>
      </c>
      <c r="F81" s="68" t="s">
        <v>563</v>
      </c>
      <c r="G81" s="199">
        <f>HLOOKUP('Descripcion Actividades'!C11,Valimpacto!B84:G99,3)*(IF('Eval Factores de Riesgo'!$CY$42=1,0.8,IF('Eval Factores de Riesgo'!$CY$42=2,0.9,IF('Eval Factores de Riesgo'!$CY$42=3,1,IF('Eval Factores de Riesgo'!$CY$42=4,1.1,1.2)))))</f>
        <v>91400668.928225994</v>
      </c>
      <c r="H81" s="205" t="str">
        <f>IF(B25&lt;&gt;"",'Eval Factores de Riesgo'!$CX$42,"")</f>
        <v>Posible</v>
      </c>
      <c r="I81" s="200" t="str">
        <f>IF(B81&lt;&gt;"",IF(G81&lt;='cap.7 - analisis riesgos'!$J$15,'cap.7 - analisis riesgos'!$H$15,IF(G81&lt;='cap.7 - analisis riesgos'!$J$16,'cap.7 - analisis riesgos'!$H$16,IF(G81&lt;='cap.7 - analisis riesgos'!$J$17,'cap.7 - analisis riesgos'!$H$17,IF(G81&lt;='cap.7 - analisis riesgos'!$J$18,'cap.7 - analisis riesgos'!$H$18,'cap.7 - analisis riesgos'!$H$19)))),"")</f>
        <v>Moderado</v>
      </c>
      <c r="J81" s="201">
        <f t="shared" si="14"/>
        <v>4</v>
      </c>
      <c r="K81" s="202">
        <f t="shared" si="15"/>
        <v>10</v>
      </c>
      <c r="L81" s="203">
        <f t="shared" ref="L81:L87" si="17">+J81*K81</f>
        <v>40</v>
      </c>
      <c r="M81" s="203"/>
      <c r="N81" s="11"/>
      <c r="O81" s="11"/>
      <c r="P81" s="11"/>
      <c r="Q81" s="11"/>
      <c r="R81" s="111"/>
      <c r="S81" s="111"/>
      <c r="T81" s="203"/>
      <c r="U81" s="203"/>
    </row>
    <row r="82" spans="1:21" s="204" customFormat="1" ht="45" customHeight="1" x14ac:dyDescent="0.25">
      <c r="A82" s="197"/>
      <c r="B82" s="198" t="str">
        <f t="shared" ref="B82:B90" si="18">B68</f>
        <v>Costos indirectos</v>
      </c>
      <c r="C82" s="66" t="s">
        <v>8</v>
      </c>
      <c r="D82" s="66" t="s">
        <v>13</v>
      </c>
      <c r="E82" s="67" t="str">
        <f t="shared" si="16"/>
        <v>Moderado</v>
      </c>
      <c r="F82" s="68" t="s">
        <v>563</v>
      </c>
      <c r="G82" s="199">
        <f>HLOOKUP('Descripcion Actividades'!C11,Valimpacto!B84:G99,4)*(IF('Eval Factores de Riesgo'!$CY$42=1,0.8,IF('Eval Factores de Riesgo'!$CY$42=2,0.9,IF('Eval Factores de Riesgo'!$CY$42=3,1,IF('Eval Factores de Riesgo'!$CY$42=4,1.1,1.2)))))</f>
        <v>42008636.475000001</v>
      </c>
      <c r="H82" s="205" t="str">
        <f>IF(B26&lt;&gt;"",'Eval Factores de Riesgo'!$CX$42,"")</f>
        <v>Posible</v>
      </c>
      <c r="I82" s="200" t="str">
        <f>IF(B82&lt;&gt;"",IF(G82&lt;='cap.7 - analisis riesgos'!$J$15,'cap.7 - analisis riesgos'!$H$15,IF(G82&lt;='cap.7 - analisis riesgos'!$J$16,'cap.7 - analisis riesgos'!$H$16,IF(G82&lt;='cap.7 - analisis riesgos'!$J$17,'cap.7 - analisis riesgos'!$H$17,IF(G82&lt;='cap.7 - analisis riesgos'!$J$18,'cap.7 - analisis riesgos'!$H$18,'cap.7 - analisis riesgos'!$H$19)))),"")</f>
        <v>Menor</v>
      </c>
      <c r="J82" s="201">
        <f t="shared" si="14"/>
        <v>4</v>
      </c>
      <c r="K82" s="202">
        <f t="shared" si="15"/>
        <v>10</v>
      </c>
      <c r="L82" s="203">
        <f t="shared" si="17"/>
        <v>40</v>
      </c>
      <c r="M82" s="203"/>
      <c r="N82" s="11"/>
      <c r="O82" s="11"/>
      <c r="P82" s="11"/>
      <c r="Q82" s="11"/>
      <c r="R82" s="111"/>
      <c r="S82" s="111"/>
      <c r="T82" s="203"/>
      <c r="U82" s="203"/>
    </row>
    <row r="83" spans="1:21" s="204" customFormat="1" ht="45" customHeight="1" x14ac:dyDescent="0.25">
      <c r="A83" s="197"/>
      <c r="B83" s="198" t="str">
        <f t="shared" si="18"/>
        <v/>
      </c>
      <c r="C83" s="66"/>
      <c r="D83" s="66"/>
      <c r="E83" s="67" t="e">
        <f t="shared" si="16"/>
        <v>#VALUE!</v>
      </c>
      <c r="F83" s="68" t="s">
        <v>563</v>
      </c>
      <c r="G83" s="199">
        <f>HLOOKUP('Descripcion Actividades'!C11,Valimpacto!B84:G99,5)*(IF('Eval Factores de Riesgo'!$CY$42=1,0.8,IF('Eval Factores de Riesgo'!$CY$42=2,0.9,IF('Eval Factores de Riesgo'!$CY$42=3,1,IF('Eval Factores de Riesgo'!$CY$42=4,1.1,1.2)))))</f>
        <v>0</v>
      </c>
      <c r="H83" s="205" t="str">
        <f>IF(B27&lt;&gt;"",'Eval Factores de Riesgo'!$CX$42,"")</f>
        <v/>
      </c>
      <c r="I83" s="200" t="str">
        <f>IF(B83&lt;&gt;"",IF(G83&lt;='cap.7 - analisis riesgos'!$J$15,'cap.7 - analisis riesgos'!$H$15,IF(G83&lt;='cap.7 - analisis riesgos'!$J$16,'cap.7 - analisis riesgos'!$H$16,IF(G83&lt;='cap.7 - analisis riesgos'!$J$17,'cap.7 - analisis riesgos'!$H$17,IF(G83&lt;='cap.7 - analisis riesgos'!$J$18,'cap.7 - analisis riesgos'!$H$18,'cap.7 - analisis riesgos'!$H$19)))),"")</f>
        <v/>
      </c>
      <c r="J83" s="201" t="str">
        <f t="shared" si="14"/>
        <v/>
      </c>
      <c r="K83" s="202" t="str">
        <f t="shared" si="15"/>
        <v/>
      </c>
      <c r="L83" s="203" t="e">
        <f t="shared" si="17"/>
        <v>#VALUE!</v>
      </c>
      <c r="M83" s="203"/>
      <c r="N83" s="11"/>
      <c r="O83" s="11"/>
      <c r="P83" s="11"/>
      <c r="Q83" s="11"/>
      <c r="R83" s="111"/>
      <c r="S83" s="111"/>
      <c r="T83" s="203"/>
      <c r="U83" s="203"/>
    </row>
    <row r="84" spans="1:21" s="204" customFormat="1" ht="45" customHeight="1" x14ac:dyDescent="0.25">
      <c r="A84" s="197"/>
      <c r="B84" s="198" t="str">
        <f t="shared" si="18"/>
        <v/>
      </c>
      <c r="C84" s="66"/>
      <c r="D84" s="66"/>
      <c r="E84" s="67" t="e">
        <f t="shared" si="16"/>
        <v>#VALUE!</v>
      </c>
      <c r="F84" s="68"/>
      <c r="G84" s="199">
        <f>HLOOKUP('Descripcion Actividades'!C11,Valimpacto!B84:G99,6)*(IF('Eval Factores de Riesgo'!$CY$42=1,0.8,IF('Eval Factores de Riesgo'!$CY$42=2,0.9,IF('Eval Factores de Riesgo'!$CY$42=3,1,IF('Eval Factores de Riesgo'!$CY$42=4,1.1,1.2)))))</f>
        <v>0</v>
      </c>
      <c r="H84" s="205" t="str">
        <f>IF(B28&lt;&gt;"",'Eval Factores de Riesgo'!$CX$42,"")</f>
        <v/>
      </c>
      <c r="I84" s="200" t="str">
        <f>IF(B84&lt;&gt;"",IF(G84&lt;='cap.7 - analisis riesgos'!$J$15,'cap.7 - analisis riesgos'!$H$15,IF(G84&lt;='cap.7 - analisis riesgos'!$J$16,'cap.7 - analisis riesgos'!$H$16,IF(G84&lt;='cap.7 - analisis riesgos'!$J$17,'cap.7 - analisis riesgos'!$H$17,IF(G84&lt;='cap.7 - analisis riesgos'!$J$18,'cap.7 - analisis riesgos'!$H$18,'cap.7 - analisis riesgos'!$H$19)))),"")</f>
        <v/>
      </c>
      <c r="J84" s="201" t="str">
        <f t="shared" si="14"/>
        <v/>
      </c>
      <c r="K84" s="202" t="str">
        <f t="shared" si="15"/>
        <v/>
      </c>
      <c r="L84" s="203" t="e">
        <f t="shared" si="17"/>
        <v>#VALUE!</v>
      </c>
      <c r="M84" s="203"/>
      <c r="N84" s="11"/>
      <c r="O84" s="11"/>
      <c r="P84" s="11"/>
      <c r="Q84" s="11"/>
      <c r="R84" s="111"/>
      <c r="S84" s="111"/>
      <c r="T84" s="203"/>
      <c r="U84" s="203"/>
    </row>
    <row r="85" spans="1:21" s="204" customFormat="1" ht="45" customHeight="1" x14ac:dyDescent="0.25">
      <c r="A85" s="197"/>
      <c r="B85" s="198" t="str">
        <f t="shared" si="18"/>
        <v/>
      </c>
      <c r="C85" s="66"/>
      <c r="D85" s="66"/>
      <c r="E85" s="67" t="e">
        <f t="shared" si="16"/>
        <v>#VALUE!</v>
      </c>
      <c r="F85" s="68"/>
      <c r="G85" s="199">
        <f>HLOOKUP('Descripcion Actividades'!C11,Valimpacto!B84:G99,7)*(IF('Eval Factores de Riesgo'!$CY$42=1,0.8,IF('Eval Factores de Riesgo'!$CY$42=2,0.9,IF('Eval Factores de Riesgo'!$CY$42=3,1,IF('Eval Factores de Riesgo'!$CY$42=4,1.1,1.2)))))</f>
        <v>0</v>
      </c>
      <c r="H85" s="205" t="str">
        <f>IF(B29&lt;&gt;"",'Eval Factores de Riesgo'!$CX$42,"")</f>
        <v/>
      </c>
      <c r="I85" s="200" t="str">
        <f>IF(B85&lt;&gt;"",IF(G85&lt;='cap.7 - analisis riesgos'!$J$15,'cap.7 - analisis riesgos'!$H$15,IF(G85&lt;='cap.7 - analisis riesgos'!$J$16,'cap.7 - analisis riesgos'!$H$16,IF(G85&lt;='cap.7 - analisis riesgos'!$J$17,'cap.7 - analisis riesgos'!$H$17,IF(G85&lt;='cap.7 - analisis riesgos'!$J$18,'cap.7 - analisis riesgos'!$H$18,'cap.7 - analisis riesgos'!$H$19)))),"")</f>
        <v/>
      </c>
      <c r="J85" s="201" t="str">
        <f t="shared" si="14"/>
        <v/>
      </c>
      <c r="K85" s="202" t="str">
        <f t="shared" si="15"/>
        <v/>
      </c>
      <c r="L85" s="203" t="e">
        <f t="shared" si="17"/>
        <v>#VALUE!</v>
      </c>
      <c r="M85" s="203"/>
      <c r="N85" s="11"/>
      <c r="O85" s="11"/>
      <c r="P85" s="11"/>
      <c r="Q85" s="11"/>
      <c r="R85" s="111"/>
      <c r="S85" s="111"/>
      <c r="T85" s="203"/>
      <c r="U85" s="203"/>
    </row>
    <row r="86" spans="1:21" s="204" customFormat="1" ht="45" customHeight="1" x14ac:dyDescent="0.25">
      <c r="A86" s="197"/>
      <c r="B86" s="198" t="str">
        <f t="shared" si="18"/>
        <v/>
      </c>
      <c r="C86" s="66"/>
      <c r="D86" s="66"/>
      <c r="E86" s="67" t="e">
        <f t="shared" si="16"/>
        <v>#VALUE!</v>
      </c>
      <c r="F86" s="68"/>
      <c r="G86" s="199">
        <f>HLOOKUP('Descripcion Actividades'!C11,Valimpacto!B84:G99,8)*(IF('Eval Factores de Riesgo'!$CY$42=1,0.8,IF('Eval Factores de Riesgo'!$CY$42=2,0.9,IF('Eval Factores de Riesgo'!$CY$42=3,1,IF('Eval Factores de Riesgo'!$CY$42=4,1.1,1.2)))))</f>
        <v>0</v>
      </c>
      <c r="H86" s="205" t="str">
        <f>IF(B30&lt;&gt;"",'Eval Factores de Riesgo'!$CX$42,"")</f>
        <v/>
      </c>
      <c r="I86" s="200" t="str">
        <f>IF(B86&lt;&gt;"",IF(G86&lt;='cap.7 - analisis riesgos'!$J$15,'cap.7 - analisis riesgos'!$H$15,IF(G86&lt;='cap.7 - analisis riesgos'!$J$16,'cap.7 - analisis riesgos'!$H$16,IF(G86&lt;='cap.7 - analisis riesgos'!$J$17,'cap.7 - analisis riesgos'!$H$17,IF(G86&lt;='cap.7 - analisis riesgos'!$J$18,'cap.7 - analisis riesgos'!$H$18,'cap.7 - analisis riesgos'!$H$19)))),"")</f>
        <v/>
      </c>
      <c r="J86" s="201" t="str">
        <f t="shared" si="14"/>
        <v/>
      </c>
      <c r="K86" s="202" t="str">
        <f t="shared" si="15"/>
        <v/>
      </c>
      <c r="L86" s="203" t="e">
        <f t="shared" si="17"/>
        <v>#VALUE!</v>
      </c>
      <c r="M86" s="203"/>
      <c r="N86" s="11"/>
      <c r="O86" s="11"/>
      <c r="P86" s="11"/>
      <c r="Q86" s="11"/>
      <c r="R86" s="111"/>
      <c r="S86" s="111"/>
      <c r="T86" s="203"/>
      <c r="U86" s="203"/>
    </row>
    <row r="87" spans="1:21" s="204" customFormat="1" ht="45" customHeight="1" x14ac:dyDescent="0.25">
      <c r="A87" s="197"/>
      <c r="B87" s="198" t="str">
        <f t="shared" si="18"/>
        <v/>
      </c>
      <c r="C87" s="66"/>
      <c r="D87" s="66"/>
      <c r="E87" s="67" t="e">
        <f t="shared" si="16"/>
        <v>#VALUE!</v>
      </c>
      <c r="F87" s="68"/>
      <c r="G87" s="199">
        <f>HLOOKUP('Descripcion Actividades'!C11,Valimpacto!B84:G99,9)*(IF('Eval Factores de Riesgo'!$CY$42=1,0.8,IF('Eval Factores de Riesgo'!$CY$42=2,0.9,IF('Eval Factores de Riesgo'!$CY$42=3,1,IF('Eval Factores de Riesgo'!$CY$42=4,1.1,1.2)))))</f>
        <v>0</v>
      </c>
      <c r="H87" s="205" t="str">
        <f>IF(B31&lt;&gt;"",'Eval Factores de Riesgo'!$CX$42,"")</f>
        <v/>
      </c>
      <c r="I87" s="200" t="str">
        <f>IF(B87&lt;&gt;"",IF(G87&lt;='cap.7 - analisis riesgos'!$J$15,'cap.7 - analisis riesgos'!$H$15,IF(G87&lt;='cap.7 - analisis riesgos'!$J$16,'cap.7 - analisis riesgos'!$H$16,IF(G87&lt;='cap.7 - analisis riesgos'!$J$17,'cap.7 - analisis riesgos'!$H$17,IF(G87&lt;='cap.7 - analisis riesgos'!$J$18,'cap.7 - analisis riesgos'!$H$18,'cap.7 - analisis riesgos'!$H$19)))),"")</f>
        <v/>
      </c>
      <c r="J87" s="201" t="str">
        <f t="shared" si="14"/>
        <v/>
      </c>
      <c r="K87" s="202" t="str">
        <f t="shared" si="15"/>
        <v/>
      </c>
      <c r="L87" s="203" t="e">
        <f t="shared" si="17"/>
        <v>#VALUE!</v>
      </c>
      <c r="M87" s="203"/>
      <c r="N87" s="11"/>
      <c r="O87" s="11"/>
      <c r="P87" s="11"/>
      <c r="Q87" s="11"/>
      <c r="R87" s="111"/>
      <c r="S87" s="111"/>
      <c r="T87" s="203"/>
      <c r="U87" s="203"/>
    </row>
    <row r="88" spans="1:21" s="204" customFormat="1" ht="45" customHeight="1" x14ac:dyDescent="0.25">
      <c r="A88" s="197"/>
      <c r="B88" s="198" t="str">
        <f t="shared" si="18"/>
        <v/>
      </c>
      <c r="C88" s="66"/>
      <c r="D88" s="66"/>
      <c r="E88" s="67" t="e">
        <f t="shared" si="16"/>
        <v>#VALUE!</v>
      </c>
      <c r="F88" s="68"/>
      <c r="G88" s="199">
        <f>HLOOKUP('Descripcion Actividades'!C11,Valimpacto!B84:G99,10)*(IF('Eval Factores de Riesgo'!$CY$42=1,0.8,IF('Eval Factores de Riesgo'!$CY$42=2,0.9,IF('Eval Factores de Riesgo'!$CY$42=3,1,IF('Eval Factores de Riesgo'!$CY$42=4,1.1,1.2)))))</f>
        <v>0</v>
      </c>
      <c r="H88" s="205" t="str">
        <f>IF(B32&lt;&gt;"",'Eval Factores de Riesgo'!$CX$42,"")</f>
        <v/>
      </c>
      <c r="I88" s="200" t="str">
        <f>IF(B88&lt;&gt;"",IF(G88&lt;='cap.7 - analisis riesgos'!$J$15,'cap.7 - analisis riesgos'!$H$15,IF(G88&lt;='cap.7 - analisis riesgos'!$J$16,'cap.7 - analisis riesgos'!$H$16,IF(G88&lt;='cap.7 - analisis riesgos'!$J$17,'cap.7 - analisis riesgos'!$H$17,IF(G88&lt;='cap.7 - analisis riesgos'!$J$18,'cap.7 - analisis riesgos'!$H$18,'cap.7 - analisis riesgos'!$H$19)))),"")</f>
        <v/>
      </c>
      <c r="J88" s="201" t="str">
        <f t="shared" si="14"/>
        <v/>
      </c>
      <c r="K88" s="202" t="str">
        <f t="shared" si="15"/>
        <v/>
      </c>
      <c r="L88" s="203" t="e">
        <f>+J88*K88</f>
        <v>#VALUE!</v>
      </c>
      <c r="M88" s="203"/>
      <c r="N88" s="11"/>
      <c r="O88" s="11"/>
      <c r="P88" s="11"/>
      <c r="Q88" s="11"/>
      <c r="R88" s="111"/>
      <c r="S88" s="111"/>
      <c r="T88" s="203"/>
      <c r="U88" s="203"/>
    </row>
    <row r="89" spans="1:21" s="204" customFormat="1" ht="45" customHeight="1" x14ac:dyDescent="0.25">
      <c r="A89" s="197"/>
      <c r="B89" s="198" t="str">
        <f t="shared" si="18"/>
        <v/>
      </c>
      <c r="C89" s="66"/>
      <c r="D89" s="66"/>
      <c r="E89" s="67" t="e">
        <f t="shared" si="16"/>
        <v>#VALUE!</v>
      </c>
      <c r="F89" s="68"/>
      <c r="G89" s="199">
        <f>HLOOKUP('Descripcion Actividades'!C11,Valimpacto!B84:G99,11)*(IF('Eval Factores de Riesgo'!$CY$42=1,0.8,IF('Eval Factores de Riesgo'!$CY$42=2,0.9,IF('Eval Factores de Riesgo'!$CY$42=3,1,IF('Eval Factores de Riesgo'!$CY$42=4,1.1,1.2)))))</f>
        <v>0</v>
      </c>
      <c r="H89" s="205" t="str">
        <f>IF(B33&lt;&gt;"",'Eval Factores de Riesgo'!$CX$42,"")</f>
        <v/>
      </c>
      <c r="I89" s="200" t="str">
        <f>IF(B89&lt;&gt;"",IF(G89&lt;='cap.7 - analisis riesgos'!$J$15,'cap.7 - analisis riesgos'!$H$15,IF(G89&lt;='cap.7 - analisis riesgos'!$J$16,'cap.7 - analisis riesgos'!$H$16,IF(G89&lt;='cap.7 - analisis riesgos'!$J$17,'cap.7 - analisis riesgos'!$H$17,IF(G89&lt;='cap.7 - analisis riesgos'!$J$18,'cap.7 - analisis riesgos'!$H$18,'cap.7 - analisis riesgos'!$H$19)))),"")</f>
        <v/>
      </c>
      <c r="J89" s="201" t="str">
        <f t="shared" si="14"/>
        <v/>
      </c>
      <c r="K89" s="202" t="str">
        <f t="shared" si="15"/>
        <v/>
      </c>
      <c r="L89" s="203" t="e">
        <f>+J89*K89</f>
        <v>#VALUE!</v>
      </c>
      <c r="M89" s="203"/>
      <c r="N89" s="11"/>
      <c r="O89" s="11"/>
      <c r="P89" s="11"/>
      <c r="Q89" s="11"/>
      <c r="R89" s="111"/>
      <c r="S89" s="111"/>
      <c r="T89" s="203"/>
      <c r="U89" s="203"/>
    </row>
    <row r="90" spans="1:21" s="204" customFormat="1" ht="45" customHeight="1" x14ac:dyDescent="0.25">
      <c r="A90" s="197"/>
      <c r="B90" s="198" t="str">
        <f t="shared" si="18"/>
        <v/>
      </c>
      <c r="C90" s="66"/>
      <c r="D90" s="66"/>
      <c r="E90" s="67" t="e">
        <f t="shared" si="16"/>
        <v>#VALUE!</v>
      </c>
      <c r="F90" s="68"/>
      <c r="G90" s="199">
        <f>HLOOKUP('Descripcion Actividades'!C11,Valimpacto!B84:G99,12)*(IF('Eval Factores de Riesgo'!$CY$42=1,0.8,IF('Eval Factores de Riesgo'!$CY$42=2,0.9,IF('Eval Factores de Riesgo'!$CY$42=3,1,IF('Eval Factores de Riesgo'!$CY$42=4,1.1,1.2)))))</f>
        <v>0</v>
      </c>
      <c r="H90" s="205" t="str">
        <f>IF(B34&lt;&gt;"",'Eval Factores de Riesgo'!$CX$42,"")</f>
        <v/>
      </c>
      <c r="I90" s="200" t="str">
        <f>IF(B90&lt;&gt;"",IF(G90&lt;='cap.7 - analisis riesgos'!$J$15,'cap.7 - analisis riesgos'!$H$15,IF(G90&lt;='cap.7 - analisis riesgos'!$J$16,'cap.7 - analisis riesgos'!$H$16,IF(G90&lt;='cap.7 - analisis riesgos'!$J$17,'cap.7 - analisis riesgos'!$H$17,IF(G90&lt;='cap.7 - analisis riesgos'!$J$18,'cap.7 - analisis riesgos'!$H$18,'cap.7 - analisis riesgos'!$H$19)))),"")</f>
        <v/>
      </c>
      <c r="J90" s="201" t="str">
        <f t="shared" si="14"/>
        <v/>
      </c>
      <c r="K90" s="202" t="str">
        <f t="shared" si="15"/>
        <v/>
      </c>
      <c r="L90" s="203" t="e">
        <f>+J90*K90</f>
        <v>#VALUE!</v>
      </c>
      <c r="M90" s="203"/>
      <c r="N90" s="11"/>
      <c r="O90" s="11"/>
      <c r="P90" s="11"/>
      <c r="Q90" s="11"/>
      <c r="R90" s="111"/>
      <c r="S90" s="111"/>
      <c r="T90" s="203"/>
      <c r="U90" s="203"/>
    </row>
    <row r="91" spans="1:21" x14ac:dyDescent="0.25">
      <c r="B91" s="62"/>
      <c r="C91" s="62"/>
      <c r="D91" s="62"/>
      <c r="E91" s="62"/>
      <c r="F91" s="62"/>
      <c r="G91" s="76"/>
      <c r="H91" s="62"/>
      <c r="I91" s="62"/>
      <c r="J91" s="10" t="str">
        <f t="shared" si="14"/>
        <v/>
      </c>
      <c r="K91" s="107" t="str">
        <f t="shared" si="15"/>
        <v/>
      </c>
      <c r="L91" s="10"/>
      <c r="M91" s="10"/>
      <c r="N91" s="11"/>
      <c r="O91" s="11"/>
      <c r="P91" s="11"/>
      <c r="Q91" s="11"/>
      <c r="R91" s="111"/>
      <c r="S91" s="111"/>
      <c r="T91" s="10"/>
      <c r="U91" s="10"/>
    </row>
    <row r="92" spans="1:21" ht="15.75" x14ac:dyDescent="0.25">
      <c r="B92" s="218" t="s">
        <v>27</v>
      </c>
      <c r="F92" s="75" t="str">
        <f>F78</f>
        <v>Fase 1</v>
      </c>
      <c r="G92" s="219"/>
      <c r="H92" s="217"/>
      <c r="I92" s="217"/>
      <c r="J92" s="10" t="str">
        <f t="shared" si="14"/>
        <v/>
      </c>
      <c r="K92" s="107" t="str">
        <f t="shared" si="15"/>
        <v/>
      </c>
      <c r="L92" s="10"/>
      <c r="M92" s="10"/>
      <c r="N92" s="11"/>
      <c r="O92" s="11"/>
      <c r="P92" s="11"/>
      <c r="Q92" s="11"/>
      <c r="R92" s="111"/>
      <c r="S92" s="111"/>
      <c r="T92" s="10"/>
      <c r="U92" s="10"/>
    </row>
    <row r="93" spans="1:21" x14ac:dyDescent="0.25">
      <c r="B93" s="59"/>
      <c r="C93" s="59"/>
      <c r="D93" s="59"/>
      <c r="E93" s="59"/>
      <c r="F93" s="59"/>
      <c r="G93" s="219"/>
      <c r="H93" s="217"/>
      <c r="I93" s="217"/>
      <c r="J93" s="10" t="str">
        <f t="shared" si="14"/>
        <v/>
      </c>
      <c r="K93" s="107" t="str">
        <f t="shared" si="15"/>
        <v/>
      </c>
      <c r="L93" s="10"/>
      <c r="M93" s="10"/>
      <c r="N93" s="11"/>
      <c r="O93" s="11"/>
      <c r="P93" s="11"/>
      <c r="Q93" s="11"/>
      <c r="R93" s="111"/>
      <c r="S93" s="111"/>
      <c r="T93" s="10"/>
      <c r="U93" s="10"/>
    </row>
    <row r="94" spans="1:21" x14ac:dyDescent="0.25">
      <c r="A94" s="60"/>
      <c r="B94" s="9" t="s">
        <v>33</v>
      </c>
      <c r="C94" s="9" t="s">
        <v>34</v>
      </c>
      <c r="D94" s="9" t="s">
        <v>35</v>
      </c>
      <c r="E94" s="9" t="s">
        <v>36</v>
      </c>
      <c r="F94" s="9" t="s">
        <v>37</v>
      </c>
      <c r="G94" s="220"/>
      <c r="H94" s="213" t="s">
        <v>564</v>
      </c>
      <c r="I94" s="213" t="s">
        <v>565</v>
      </c>
      <c r="J94" s="10" t="str">
        <f t="shared" si="14"/>
        <v/>
      </c>
      <c r="K94" s="107" t="str">
        <f t="shared" si="15"/>
        <v/>
      </c>
      <c r="L94" s="10"/>
      <c r="M94" s="10"/>
      <c r="N94" s="11"/>
      <c r="O94" s="11"/>
      <c r="P94" s="11"/>
      <c r="Q94" s="11"/>
      <c r="R94" s="111"/>
      <c r="S94" s="111"/>
      <c r="T94" s="10"/>
      <c r="U94" s="10"/>
    </row>
    <row r="95" spans="1:21" s="204" customFormat="1" ht="45" customHeight="1" x14ac:dyDescent="0.25">
      <c r="A95" s="197"/>
      <c r="B95" s="198" t="str">
        <f>B81</f>
        <v>Costo personal</v>
      </c>
      <c r="C95" s="66" t="s">
        <v>8</v>
      </c>
      <c r="D95" s="66" t="s">
        <v>13</v>
      </c>
      <c r="E95" s="67" t="str">
        <f t="shared" ref="E95:E104" si="19">IF(OR(L95=5,L95=10),"Bajo",IF(OR(L95=15,L95=20,L95=30,L95=40,L95=45),"Moderado",IF(OR(L95=22,L95=25,L95=44,L95=50,L95=60,L95=66,L95=75,L95=88,L95=100),"Considerable",IF(OR(L95=27,L95=54,L95=81,L95=108,L95=135),"Significativo",""))))</f>
        <v>Moderado</v>
      </c>
      <c r="F95" s="68" t="s">
        <v>563</v>
      </c>
      <c r="G95" s="199">
        <f>HLOOKUP('Descripcion Actividades'!C11,Valimpacto!B84:G99,3)*(IF('Eval Factores de Riesgo'!$CY$52=1,0.8,IF('Eval Factores de Riesgo'!$CY$52=2,0.9,IF('Eval Factores de Riesgo'!$CY$52=3,1,IF('Eval Factores de Riesgo'!$CY$52=4,1.1,1.2)))))</f>
        <v>101556298.80914</v>
      </c>
      <c r="H95" s="205" t="str">
        <f>IF(B25&lt;&gt;"",'Eval Factores de Riesgo'!$CX$52,"")</f>
        <v>Probable</v>
      </c>
      <c r="I95" s="200" t="str">
        <f>IF(B95&lt;&gt;"",IF(G95&lt;='cap.7 - analisis riesgos'!$J$15,'cap.7 - analisis riesgos'!$H$15,IF(G95&lt;='cap.7 - analisis riesgos'!$J$16,'cap.7 - analisis riesgos'!$H$16,IF(G95&lt;='cap.7 - analisis riesgos'!$J$17,'cap.7 - analisis riesgos'!$H$17,IF(G95&lt;='cap.7 - analisis riesgos'!$J$18,'cap.7 - analisis riesgos'!$H$18,'cap.7 - analisis riesgos'!$H$19)))),"")</f>
        <v>Moderado</v>
      </c>
      <c r="J95" s="201">
        <f t="shared" si="14"/>
        <v>4</v>
      </c>
      <c r="K95" s="202">
        <f t="shared" si="15"/>
        <v>10</v>
      </c>
      <c r="L95" s="203">
        <f t="shared" ref="L95:L100" si="20">+J95*K95</f>
        <v>40</v>
      </c>
      <c r="M95" s="203"/>
      <c r="N95" s="11"/>
      <c r="O95" s="11"/>
      <c r="P95" s="11"/>
      <c r="Q95" s="11"/>
      <c r="R95" s="111"/>
      <c r="S95" s="111"/>
      <c r="T95" s="203"/>
      <c r="U95" s="203"/>
    </row>
    <row r="96" spans="1:21" s="204" customFormat="1" ht="45" customHeight="1" x14ac:dyDescent="0.25">
      <c r="A96" s="197"/>
      <c r="B96" s="198" t="str">
        <f t="shared" ref="B96:B104" si="21">B82</f>
        <v>Costos indirectos</v>
      </c>
      <c r="C96" s="66" t="s">
        <v>8</v>
      </c>
      <c r="D96" s="66" t="s">
        <v>13</v>
      </c>
      <c r="E96" s="67" t="str">
        <f t="shared" si="19"/>
        <v>Moderado</v>
      </c>
      <c r="F96" s="68" t="s">
        <v>563</v>
      </c>
      <c r="G96" s="199">
        <f>HLOOKUP('Descripcion Actividades'!C11,Valimpacto!B84:G99,4)*(IF('Eval Factores de Riesgo'!$CY$52=1,0.8,IF('Eval Factores de Riesgo'!$CY$52=2,0.9,IF('Eval Factores de Riesgo'!$CY$52=3,1,IF('Eval Factores de Riesgo'!$CY$52=4,1.1,1.2)))))</f>
        <v>46676262.75</v>
      </c>
      <c r="H96" s="205" t="str">
        <f>IF(B26&lt;&gt;"",'Eval Factores de Riesgo'!$CX$52,"")</f>
        <v>Probable</v>
      </c>
      <c r="I96" s="200" t="str">
        <f>IF(B96&lt;&gt;"",IF(G96&lt;='cap.7 - analisis riesgos'!$J$15,'cap.7 - analisis riesgos'!$H$15,IF(G96&lt;='cap.7 - analisis riesgos'!$J$16,'cap.7 - analisis riesgos'!$H$16,IF(G96&lt;='cap.7 - analisis riesgos'!$J$17,'cap.7 - analisis riesgos'!$H$17,IF(G96&lt;='cap.7 - analisis riesgos'!$J$18,'cap.7 - analisis riesgos'!$H$18,'cap.7 - analisis riesgos'!$H$19)))),"")</f>
        <v>Menor</v>
      </c>
      <c r="J96" s="201">
        <f t="shared" si="14"/>
        <v>4</v>
      </c>
      <c r="K96" s="202">
        <f t="shared" si="15"/>
        <v>10</v>
      </c>
      <c r="L96" s="203">
        <f t="shared" si="20"/>
        <v>40</v>
      </c>
      <c r="M96" s="203"/>
      <c r="N96" s="11"/>
      <c r="O96" s="11"/>
      <c r="P96" s="11"/>
      <c r="Q96" s="11"/>
      <c r="R96" s="111"/>
      <c r="S96" s="111"/>
      <c r="T96" s="203"/>
      <c r="U96" s="203"/>
    </row>
    <row r="97" spans="1:21" s="204" customFormat="1" ht="45" customHeight="1" x14ac:dyDescent="0.25">
      <c r="A97" s="197"/>
      <c r="B97" s="198" t="str">
        <f t="shared" si="21"/>
        <v/>
      </c>
      <c r="C97" s="66"/>
      <c r="D97" s="66"/>
      <c r="E97" s="67" t="e">
        <f t="shared" si="19"/>
        <v>#VALUE!</v>
      </c>
      <c r="F97" s="68" t="s">
        <v>563</v>
      </c>
      <c r="G97" s="199">
        <f>HLOOKUP('Descripcion Actividades'!C11,Valimpacto!B84:G99,5)*(IF('Eval Factores de Riesgo'!$CY$52=1,0.8,IF('Eval Factores de Riesgo'!$CY$52=2,0.9,IF('Eval Factores de Riesgo'!$CY$52=3,1,IF('Eval Factores de Riesgo'!$CY$52=4,1.1,1.2)))))</f>
        <v>0</v>
      </c>
      <c r="H97" s="205" t="str">
        <f>IF(B27&lt;&gt;"",'Eval Factores de Riesgo'!$CX$52,"")</f>
        <v/>
      </c>
      <c r="I97" s="200" t="str">
        <f>IF(B97&lt;&gt;"",IF(G97&lt;='cap.7 - analisis riesgos'!$J$15,'cap.7 - analisis riesgos'!$H$15,IF(G97&lt;='cap.7 - analisis riesgos'!$J$16,'cap.7 - analisis riesgos'!$H$16,IF(G97&lt;='cap.7 - analisis riesgos'!$J$17,'cap.7 - analisis riesgos'!$H$17,IF(G97&lt;='cap.7 - analisis riesgos'!$J$18,'cap.7 - analisis riesgos'!$H$18,'cap.7 - analisis riesgos'!$H$19)))),"")</f>
        <v/>
      </c>
      <c r="J97" s="201" t="str">
        <f t="shared" si="14"/>
        <v/>
      </c>
      <c r="K97" s="202" t="str">
        <f t="shared" si="15"/>
        <v/>
      </c>
      <c r="L97" s="203" t="e">
        <f t="shared" si="20"/>
        <v>#VALUE!</v>
      </c>
      <c r="M97" s="203"/>
      <c r="N97" s="11"/>
      <c r="O97" s="11"/>
      <c r="P97" s="11"/>
      <c r="Q97" s="11"/>
      <c r="R97" s="111"/>
      <c r="S97" s="111"/>
      <c r="T97" s="203"/>
      <c r="U97" s="203"/>
    </row>
    <row r="98" spans="1:21" s="204" customFormat="1" ht="45" customHeight="1" x14ac:dyDescent="0.25">
      <c r="A98" s="197"/>
      <c r="B98" s="198" t="str">
        <f t="shared" si="21"/>
        <v/>
      </c>
      <c r="C98" s="66"/>
      <c r="D98" s="66"/>
      <c r="E98" s="67" t="e">
        <f t="shared" si="19"/>
        <v>#VALUE!</v>
      </c>
      <c r="F98" s="68"/>
      <c r="G98" s="199">
        <f>HLOOKUP('Descripcion Actividades'!C11,Valimpacto!B84:G99,6)*(IF('Eval Factores de Riesgo'!$CY$52=1,0.8,IF('Eval Factores de Riesgo'!$CY$52=2,0.9,IF('Eval Factores de Riesgo'!$CY$52=3,1,IF('Eval Factores de Riesgo'!$CY$52=4,1.1,1.2)))))</f>
        <v>0</v>
      </c>
      <c r="H98" s="205" t="str">
        <f>IF(B28&lt;&gt;"",'Eval Factores de Riesgo'!$CX$52,"")</f>
        <v/>
      </c>
      <c r="I98" s="200" t="str">
        <f>IF(B98&lt;&gt;"",IF(G98&lt;='cap.7 - analisis riesgos'!$J$15,'cap.7 - analisis riesgos'!$H$15,IF(G98&lt;='cap.7 - analisis riesgos'!$J$16,'cap.7 - analisis riesgos'!$H$16,IF(G98&lt;='cap.7 - analisis riesgos'!$J$17,'cap.7 - analisis riesgos'!$H$17,IF(G98&lt;='cap.7 - analisis riesgos'!$J$18,'cap.7 - analisis riesgos'!$H$18,'cap.7 - analisis riesgos'!$H$19)))),"")</f>
        <v/>
      </c>
      <c r="J98" s="201" t="str">
        <f t="shared" si="14"/>
        <v/>
      </c>
      <c r="K98" s="202" t="str">
        <f t="shared" si="15"/>
        <v/>
      </c>
      <c r="L98" s="203" t="e">
        <f t="shared" si="20"/>
        <v>#VALUE!</v>
      </c>
      <c r="M98" s="203"/>
      <c r="N98" s="11"/>
      <c r="O98" s="11"/>
      <c r="P98" s="11"/>
      <c r="Q98" s="11"/>
      <c r="R98" s="111"/>
      <c r="S98" s="111"/>
      <c r="T98" s="203"/>
      <c r="U98" s="203"/>
    </row>
    <row r="99" spans="1:21" s="204" customFormat="1" ht="45" customHeight="1" x14ac:dyDescent="0.25">
      <c r="A99" s="197"/>
      <c r="B99" s="198" t="str">
        <f t="shared" si="21"/>
        <v/>
      </c>
      <c r="C99" s="66"/>
      <c r="D99" s="66"/>
      <c r="E99" s="67" t="e">
        <f t="shared" si="19"/>
        <v>#VALUE!</v>
      </c>
      <c r="F99" s="68"/>
      <c r="G99" s="199">
        <f>HLOOKUP('Descripcion Actividades'!C11,Valimpacto!B84:G99,7)*(IF('Eval Factores de Riesgo'!$CY$52=1,0.8,IF('Eval Factores de Riesgo'!$CY$52=2,0.9,IF('Eval Factores de Riesgo'!$CY$52=3,1,IF('Eval Factores de Riesgo'!$CY$52=4,1.1,1.2)))))</f>
        <v>0</v>
      </c>
      <c r="H99" s="205" t="str">
        <f>IF(B29&lt;&gt;"",'Eval Factores de Riesgo'!$CX$52,"")</f>
        <v/>
      </c>
      <c r="I99" s="200" t="str">
        <f>IF(B99&lt;&gt;"",IF(G99&lt;='cap.7 - analisis riesgos'!$J$15,'cap.7 - analisis riesgos'!$H$15,IF(G99&lt;='cap.7 - analisis riesgos'!$J$16,'cap.7 - analisis riesgos'!$H$16,IF(G99&lt;='cap.7 - analisis riesgos'!$J$17,'cap.7 - analisis riesgos'!$H$17,IF(G99&lt;='cap.7 - analisis riesgos'!$J$18,'cap.7 - analisis riesgos'!$H$18,'cap.7 - analisis riesgos'!$H$19)))),"")</f>
        <v/>
      </c>
      <c r="J99" s="201" t="str">
        <f t="shared" si="14"/>
        <v/>
      </c>
      <c r="K99" s="202" t="str">
        <f t="shared" si="15"/>
        <v/>
      </c>
      <c r="L99" s="203" t="e">
        <f t="shared" si="20"/>
        <v>#VALUE!</v>
      </c>
      <c r="M99" s="203"/>
      <c r="N99" s="11"/>
      <c r="O99" s="11"/>
      <c r="P99" s="11"/>
      <c r="Q99" s="11"/>
      <c r="R99" s="111"/>
      <c r="S99" s="111"/>
      <c r="T99" s="203"/>
      <c r="U99" s="203"/>
    </row>
    <row r="100" spans="1:21" s="204" customFormat="1" ht="45" customHeight="1" x14ac:dyDescent="0.25">
      <c r="A100" s="197"/>
      <c r="B100" s="198" t="str">
        <f t="shared" si="21"/>
        <v/>
      </c>
      <c r="C100" s="66"/>
      <c r="D100" s="66"/>
      <c r="E100" s="67" t="e">
        <f t="shared" si="19"/>
        <v>#VALUE!</v>
      </c>
      <c r="F100" s="68"/>
      <c r="G100" s="199">
        <f>HLOOKUP('Descripcion Actividades'!C11,Valimpacto!B84:G99,8)*(IF('Eval Factores de Riesgo'!$CY$52=1,0.8,IF('Eval Factores de Riesgo'!$CY$52=2,0.9,IF('Eval Factores de Riesgo'!$CY$52=3,1,IF('Eval Factores de Riesgo'!$CY$52=4,1.1,1.2)))))</f>
        <v>0</v>
      </c>
      <c r="H100" s="205" t="str">
        <f>IF(B30&lt;&gt;"",'Eval Factores de Riesgo'!$CX$52,"")</f>
        <v/>
      </c>
      <c r="I100" s="200" t="str">
        <f>IF(B100&lt;&gt;"",IF(G100&lt;='cap.7 - analisis riesgos'!$J$15,'cap.7 - analisis riesgos'!$H$15,IF(G100&lt;='cap.7 - analisis riesgos'!$J$16,'cap.7 - analisis riesgos'!$H$16,IF(G100&lt;='cap.7 - analisis riesgos'!$J$17,'cap.7 - analisis riesgos'!$H$17,IF(G100&lt;='cap.7 - analisis riesgos'!$J$18,'cap.7 - analisis riesgos'!$H$18,'cap.7 - analisis riesgos'!$H$19)))),"")</f>
        <v/>
      </c>
      <c r="J100" s="201" t="str">
        <f t="shared" si="14"/>
        <v/>
      </c>
      <c r="K100" s="202" t="str">
        <f t="shared" si="15"/>
        <v/>
      </c>
      <c r="L100" s="203" t="e">
        <f t="shared" si="20"/>
        <v>#VALUE!</v>
      </c>
      <c r="M100" s="203"/>
      <c r="N100" s="11"/>
      <c r="O100" s="11"/>
      <c r="P100" s="11"/>
      <c r="Q100" s="11"/>
      <c r="R100" s="111"/>
      <c r="S100" s="111"/>
      <c r="T100" s="203"/>
      <c r="U100" s="203"/>
    </row>
    <row r="101" spans="1:21" s="204" customFormat="1" ht="45" customHeight="1" x14ac:dyDescent="0.25">
      <c r="A101" s="197"/>
      <c r="B101" s="198" t="str">
        <f t="shared" si="21"/>
        <v/>
      </c>
      <c r="C101" s="66"/>
      <c r="D101" s="66"/>
      <c r="E101" s="67" t="e">
        <f t="shared" si="19"/>
        <v>#VALUE!</v>
      </c>
      <c r="F101" s="68"/>
      <c r="G101" s="199">
        <f>HLOOKUP('Descripcion Actividades'!C11,Valimpacto!B84:G99,9)*(IF('Eval Factores de Riesgo'!$CY$52=1,0.8,IF('Eval Factores de Riesgo'!$CY$52=2,0.9,IF('Eval Factores de Riesgo'!$CY$52=3,1,IF('Eval Factores de Riesgo'!$CY$52=4,1.1,1.2)))))</f>
        <v>0</v>
      </c>
      <c r="H101" s="205" t="str">
        <f>IF(B31&lt;&gt;"",'Eval Factores de Riesgo'!$CX$52,"")</f>
        <v/>
      </c>
      <c r="I101" s="200" t="str">
        <f>IF(B101&lt;&gt;"",IF(G101&lt;='cap.7 - analisis riesgos'!$J$15,'cap.7 - analisis riesgos'!$H$15,IF(G101&lt;='cap.7 - analisis riesgos'!$J$16,'cap.7 - analisis riesgos'!$H$16,IF(G101&lt;='cap.7 - analisis riesgos'!$J$17,'cap.7 - analisis riesgos'!$H$17,IF(G101&lt;='cap.7 - analisis riesgos'!$J$18,'cap.7 - analisis riesgos'!$H$18,'cap.7 - analisis riesgos'!$H$19)))),"")</f>
        <v/>
      </c>
      <c r="J101" s="201" t="str">
        <f t="shared" si="14"/>
        <v/>
      </c>
      <c r="K101" s="202" t="str">
        <f t="shared" si="15"/>
        <v/>
      </c>
      <c r="L101" s="203" t="e">
        <f>+J101*K101</f>
        <v>#VALUE!</v>
      </c>
      <c r="M101" s="203"/>
      <c r="N101" s="11"/>
      <c r="O101" s="11"/>
      <c r="P101" s="11"/>
      <c r="Q101" s="11"/>
      <c r="R101" s="111"/>
      <c r="S101" s="111"/>
      <c r="T101" s="203"/>
      <c r="U101" s="203"/>
    </row>
    <row r="102" spans="1:21" s="204" customFormat="1" ht="45" customHeight="1" x14ac:dyDescent="0.25">
      <c r="A102" s="197"/>
      <c r="B102" s="198" t="str">
        <f t="shared" si="21"/>
        <v/>
      </c>
      <c r="C102" s="66"/>
      <c r="D102" s="66"/>
      <c r="E102" s="67" t="e">
        <f t="shared" si="19"/>
        <v>#VALUE!</v>
      </c>
      <c r="F102" s="68"/>
      <c r="G102" s="199">
        <f>HLOOKUP('Descripcion Actividades'!C11,Valimpacto!B84:G99,10)*(IF('Eval Factores de Riesgo'!$CY$52=1,0.8,IF('Eval Factores de Riesgo'!$CY$52=2,0.9,IF('Eval Factores de Riesgo'!$CY$52=3,1,IF('Eval Factores de Riesgo'!$CY$52=4,1.1,1.2)))))</f>
        <v>0</v>
      </c>
      <c r="H102" s="205" t="str">
        <f>IF(B32&lt;&gt;"",'Eval Factores de Riesgo'!$CX$52,"")</f>
        <v/>
      </c>
      <c r="I102" s="200" t="str">
        <f>IF(B102&lt;&gt;"",IF(G102&lt;='cap.7 - analisis riesgos'!$J$15,'cap.7 - analisis riesgos'!$H$15,IF(G102&lt;='cap.7 - analisis riesgos'!$J$16,'cap.7 - analisis riesgos'!$H$16,IF(G102&lt;='cap.7 - analisis riesgos'!$J$17,'cap.7 - analisis riesgos'!$H$17,IF(G102&lt;='cap.7 - analisis riesgos'!$J$18,'cap.7 - analisis riesgos'!$H$18,'cap.7 - analisis riesgos'!$H$19)))),"")</f>
        <v/>
      </c>
      <c r="J102" s="201" t="str">
        <f t="shared" si="14"/>
        <v/>
      </c>
      <c r="K102" s="202" t="str">
        <f t="shared" si="15"/>
        <v/>
      </c>
      <c r="L102" s="203" t="e">
        <f>+J102*K102</f>
        <v>#VALUE!</v>
      </c>
      <c r="M102" s="203"/>
      <c r="N102" s="11"/>
      <c r="O102" s="11"/>
      <c r="P102" s="11"/>
      <c r="Q102" s="11"/>
      <c r="R102" s="111"/>
      <c r="S102" s="111"/>
      <c r="T102" s="203"/>
      <c r="U102" s="203"/>
    </row>
    <row r="103" spans="1:21" s="204" customFormat="1" ht="45" customHeight="1" x14ac:dyDescent="0.25">
      <c r="A103" s="197"/>
      <c r="B103" s="198" t="str">
        <f t="shared" si="21"/>
        <v/>
      </c>
      <c r="C103" s="66"/>
      <c r="D103" s="66"/>
      <c r="E103" s="67" t="e">
        <f t="shared" si="19"/>
        <v>#VALUE!</v>
      </c>
      <c r="F103" s="68"/>
      <c r="G103" s="199">
        <f>HLOOKUP('Descripcion Actividades'!C11,Valimpacto!B84:G99,11)*(IF('Eval Factores de Riesgo'!$CY$52=1,0.8,IF('Eval Factores de Riesgo'!$CY$52=2,0.9,IF('Eval Factores de Riesgo'!$CY$52=3,1,IF('Eval Factores de Riesgo'!$CY$52=4,1.1,1.2)))))</f>
        <v>0</v>
      </c>
      <c r="H103" s="205" t="str">
        <f>IF(B33&lt;&gt;"",'Eval Factores de Riesgo'!$CX$52,"")</f>
        <v/>
      </c>
      <c r="I103" s="200" t="str">
        <f>IF(B103&lt;&gt;"",IF(G103&lt;='cap.7 - analisis riesgos'!$J$15,'cap.7 - analisis riesgos'!$H$15,IF(G103&lt;='cap.7 - analisis riesgos'!$J$16,'cap.7 - analisis riesgos'!$H$16,IF(G103&lt;='cap.7 - analisis riesgos'!$J$17,'cap.7 - analisis riesgos'!$H$17,IF(G103&lt;='cap.7 - analisis riesgos'!$J$18,'cap.7 - analisis riesgos'!$H$18,'cap.7 - analisis riesgos'!$H$19)))),"")</f>
        <v/>
      </c>
      <c r="J103" s="201" t="str">
        <f t="shared" si="14"/>
        <v/>
      </c>
      <c r="K103" s="202" t="str">
        <f t="shared" si="15"/>
        <v/>
      </c>
      <c r="L103" s="203" t="e">
        <f>+J103*K103</f>
        <v>#VALUE!</v>
      </c>
      <c r="M103" s="203"/>
      <c r="N103" s="11"/>
      <c r="O103" s="11"/>
      <c r="P103" s="11"/>
      <c r="Q103" s="11"/>
      <c r="R103" s="111"/>
      <c r="S103" s="111"/>
      <c r="T103" s="203"/>
      <c r="U103" s="203"/>
    </row>
    <row r="104" spans="1:21" s="204" customFormat="1" ht="45" customHeight="1" x14ac:dyDescent="0.25">
      <c r="A104" s="197"/>
      <c r="B104" s="198" t="str">
        <f t="shared" si="21"/>
        <v/>
      </c>
      <c r="C104" s="66"/>
      <c r="D104" s="66"/>
      <c r="E104" s="67" t="e">
        <f t="shared" si="19"/>
        <v>#VALUE!</v>
      </c>
      <c r="F104" s="68"/>
      <c r="G104" s="199">
        <f>HLOOKUP('Descripcion Actividades'!C11,Valimpacto!B84:G99,12)*(IF('Eval Factores de Riesgo'!$CY$52=1,0.8,IF('Eval Factores de Riesgo'!$CY$52=2,0.9,IF('Eval Factores de Riesgo'!$CY$52=3,1,IF('Eval Factores de Riesgo'!$CY$52=4,1.1,1.2)))))</f>
        <v>0</v>
      </c>
      <c r="H104" s="205" t="str">
        <f>IF(B34&lt;&gt;"",'Eval Factores de Riesgo'!$CX$52,"")</f>
        <v/>
      </c>
      <c r="I104" s="200" t="str">
        <f>IF(B104&lt;&gt;"",IF(G104&lt;='cap.7 - analisis riesgos'!$J$15,'cap.7 - analisis riesgos'!$H$15,IF(G104&lt;='cap.7 - analisis riesgos'!$J$16,'cap.7 - analisis riesgos'!$H$16,IF(G104&lt;='cap.7 - analisis riesgos'!$J$17,'cap.7 - analisis riesgos'!$H$17,IF(G104&lt;='cap.7 - analisis riesgos'!$J$18,'cap.7 - analisis riesgos'!$H$18,'cap.7 - analisis riesgos'!$H$19)))),"")</f>
        <v/>
      </c>
      <c r="J104" s="201" t="str">
        <f t="shared" si="14"/>
        <v/>
      </c>
      <c r="K104" s="202" t="str">
        <f t="shared" si="15"/>
        <v/>
      </c>
      <c r="L104" s="203" t="e">
        <f t="shared" ref="L104:L118" si="22">+J104*K104</f>
        <v>#VALUE!</v>
      </c>
      <c r="M104" s="203"/>
      <c r="N104" s="11"/>
      <c r="O104" s="11"/>
      <c r="P104" s="11"/>
      <c r="Q104" s="11"/>
      <c r="R104" s="111"/>
      <c r="S104" s="111"/>
      <c r="T104" s="203"/>
      <c r="U104" s="203"/>
    </row>
    <row r="105" spans="1:21" x14ac:dyDescent="0.25">
      <c r="B105" s="62"/>
      <c r="C105" s="62"/>
      <c r="D105" s="62"/>
      <c r="E105" s="62"/>
      <c r="F105" s="62"/>
      <c r="G105" s="76"/>
      <c r="H105" s="62"/>
      <c r="I105" s="62"/>
      <c r="J105" s="10" t="str">
        <f t="shared" si="14"/>
        <v/>
      </c>
      <c r="K105" s="107" t="str">
        <f t="shared" si="15"/>
        <v/>
      </c>
      <c r="L105" s="10"/>
      <c r="M105" s="10"/>
      <c r="N105" s="11"/>
      <c r="O105" s="11"/>
      <c r="P105" s="11"/>
      <c r="Q105" s="11"/>
      <c r="R105" s="111"/>
      <c r="S105" s="111"/>
      <c r="T105" s="10"/>
      <c r="U105" s="10"/>
    </row>
    <row r="106" spans="1:21" ht="15.75" x14ac:dyDescent="0.25">
      <c r="B106" s="218" t="s">
        <v>28</v>
      </c>
      <c r="F106" s="75" t="str">
        <f>F92</f>
        <v>Fase 1</v>
      </c>
      <c r="G106" s="219"/>
      <c r="H106" s="217"/>
      <c r="I106" s="217"/>
      <c r="J106" s="10" t="str">
        <f t="shared" si="14"/>
        <v/>
      </c>
      <c r="K106" s="107" t="str">
        <f t="shared" si="15"/>
        <v/>
      </c>
      <c r="L106" s="10"/>
      <c r="M106" s="10"/>
      <c r="N106" s="11"/>
      <c r="O106" s="11"/>
      <c r="P106" s="11"/>
      <c r="Q106" s="11"/>
      <c r="R106" s="111"/>
      <c r="S106" s="111"/>
      <c r="T106" s="10"/>
      <c r="U106" s="10"/>
    </row>
    <row r="107" spans="1:21" x14ac:dyDescent="0.25">
      <c r="B107" s="59"/>
      <c r="C107" s="59"/>
      <c r="D107" s="59"/>
      <c r="E107" s="59"/>
      <c r="F107" s="59"/>
      <c r="G107" s="219"/>
      <c r="H107" s="217"/>
      <c r="I107" s="217"/>
      <c r="J107" s="10" t="str">
        <f t="shared" si="14"/>
        <v/>
      </c>
      <c r="K107" s="107" t="str">
        <f t="shared" si="15"/>
        <v/>
      </c>
      <c r="L107" s="10"/>
      <c r="M107" s="10"/>
      <c r="N107" s="11"/>
      <c r="O107" s="11"/>
      <c r="P107" s="11"/>
      <c r="Q107" s="11"/>
      <c r="R107" s="111"/>
      <c r="S107" s="111"/>
      <c r="T107" s="10"/>
      <c r="U107" s="10"/>
    </row>
    <row r="108" spans="1:21" x14ac:dyDescent="0.25">
      <c r="A108" s="60"/>
      <c r="B108" s="9" t="s">
        <v>33</v>
      </c>
      <c r="C108" s="9" t="s">
        <v>34</v>
      </c>
      <c r="D108" s="9" t="s">
        <v>35</v>
      </c>
      <c r="E108" s="9" t="s">
        <v>36</v>
      </c>
      <c r="F108" s="9" t="s">
        <v>37</v>
      </c>
      <c r="G108" s="220"/>
      <c r="H108" s="213" t="s">
        <v>564</v>
      </c>
      <c r="I108" s="213" t="s">
        <v>565</v>
      </c>
      <c r="J108" s="10" t="str">
        <f t="shared" si="14"/>
        <v/>
      </c>
      <c r="K108" s="107" t="str">
        <f t="shared" si="15"/>
        <v/>
      </c>
      <c r="L108" s="10"/>
      <c r="M108" s="10"/>
      <c r="N108" s="11"/>
      <c r="O108" s="11"/>
      <c r="P108" s="11"/>
      <c r="Q108" s="11"/>
      <c r="R108" s="111"/>
      <c r="S108" s="111"/>
      <c r="T108" s="10"/>
      <c r="U108" s="10"/>
    </row>
    <row r="109" spans="1:21" s="204" customFormat="1" ht="45" customHeight="1" x14ac:dyDescent="0.25">
      <c r="A109" s="197"/>
      <c r="B109" s="198" t="str">
        <f>B95</f>
        <v>Costo personal</v>
      </c>
      <c r="C109" s="66" t="s">
        <v>8</v>
      </c>
      <c r="D109" s="66" t="s">
        <v>13</v>
      </c>
      <c r="E109" s="67" t="str">
        <f t="shared" ref="E109:E118" si="23">IF(OR(L109=5,L109=10),"Bajo",IF(OR(L109=15,L109=20,L109=30,L109=40,L109=45),"Moderado",IF(OR(L109=22,L109=25,L109=44,L109=50,L109=60,L109=66,L109=75,L109=88,L109=100),"Considerable",IF(OR(L109=27,L109=54,L109=81,L109=108,L109=135),"Significativo",""))))</f>
        <v>Moderado</v>
      </c>
      <c r="F109" s="68" t="s">
        <v>563</v>
      </c>
      <c r="G109" s="199">
        <f>HLOOKUP('Descripcion Actividades'!C11,Valimpacto!B84:G99,3)*(IF('Eval Factores de Riesgo'!$CY$62=1,0.8,IF('Eval Factores de Riesgo'!$CY$62=2,0.9,IF('Eval Factores de Riesgo'!$CY$62=3,1,IF('Eval Factores de Riesgo'!$CY$62=4,1.1,1.2)))))</f>
        <v>91400668.928225994</v>
      </c>
      <c r="H109" s="205" t="str">
        <f>IF(B25&lt;&gt;"",'Eval Factores de Riesgo'!$CX$62,"")</f>
        <v>Posible</v>
      </c>
      <c r="I109" s="200" t="str">
        <f>IF(B109&lt;&gt;"",IF(G109&lt;='cap.7 - analisis riesgos'!$J$15,'cap.7 - analisis riesgos'!$H$15,IF(G109&lt;='cap.7 - analisis riesgos'!$J$16,'cap.7 - analisis riesgos'!$H$16,IF(G109&lt;='cap.7 - analisis riesgos'!$J$17,'cap.7 - analisis riesgos'!$H$17,IF(G109&lt;='cap.7 - analisis riesgos'!$J$18,'cap.7 - analisis riesgos'!$H$18,'cap.7 - analisis riesgos'!$H$19)))),"")</f>
        <v>Moderado</v>
      </c>
      <c r="J109" s="201">
        <f t="shared" si="14"/>
        <v>4</v>
      </c>
      <c r="K109" s="202">
        <f t="shared" si="15"/>
        <v>10</v>
      </c>
      <c r="L109" s="203">
        <f t="shared" si="22"/>
        <v>40</v>
      </c>
      <c r="M109" s="203"/>
      <c r="N109" s="11"/>
      <c r="O109" s="11"/>
      <c r="P109" s="11"/>
      <c r="Q109" s="11"/>
      <c r="R109" s="111"/>
      <c r="S109" s="111"/>
      <c r="T109" s="203"/>
      <c r="U109" s="203"/>
    </row>
    <row r="110" spans="1:21" s="204" customFormat="1" ht="45" customHeight="1" x14ac:dyDescent="0.25">
      <c r="A110" s="197"/>
      <c r="B110" s="198" t="str">
        <f t="shared" ref="B110:B118" si="24">B96</f>
        <v>Costos indirectos</v>
      </c>
      <c r="C110" s="66" t="s">
        <v>8</v>
      </c>
      <c r="D110" s="66" t="s">
        <v>13</v>
      </c>
      <c r="E110" s="67" t="str">
        <f t="shared" si="23"/>
        <v>Moderado</v>
      </c>
      <c r="F110" s="68" t="s">
        <v>563</v>
      </c>
      <c r="G110" s="199">
        <f>HLOOKUP('Descripcion Actividades'!C11,Valimpacto!B84:G99,4)*(IF('Eval Factores de Riesgo'!$CY$62=1,0.8,IF('Eval Factores de Riesgo'!$CY$62=2,0.9,IF('Eval Factores de Riesgo'!$CY$62=3,1,IF('Eval Factores de Riesgo'!$CY$62=4,1.1,1.2)))))</f>
        <v>42008636.475000001</v>
      </c>
      <c r="H110" s="205" t="str">
        <f>IF(B26&lt;&gt;"",'Eval Factores de Riesgo'!$CX$62,"")</f>
        <v>Posible</v>
      </c>
      <c r="I110" s="200" t="str">
        <f>IF(B110&lt;&gt;"",IF(G110&lt;='cap.7 - analisis riesgos'!$J$15,'cap.7 - analisis riesgos'!$H$15,IF(G110&lt;='cap.7 - analisis riesgos'!$J$16,'cap.7 - analisis riesgos'!$H$16,IF(G110&lt;='cap.7 - analisis riesgos'!$J$17,'cap.7 - analisis riesgos'!$H$17,IF(G110&lt;='cap.7 - analisis riesgos'!$J$18,'cap.7 - analisis riesgos'!$H$18,'cap.7 - analisis riesgos'!$H$19)))),"")</f>
        <v>Menor</v>
      </c>
      <c r="J110" s="201">
        <f t="shared" si="14"/>
        <v>4</v>
      </c>
      <c r="K110" s="202">
        <f t="shared" si="15"/>
        <v>10</v>
      </c>
      <c r="L110" s="203">
        <f t="shared" si="22"/>
        <v>40</v>
      </c>
      <c r="M110" s="203"/>
      <c r="N110" s="11"/>
      <c r="O110" s="11"/>
      <c r="P110" s="11"/>
      <c r="Q110" s="11"/>
      <c r="R110" s="111"/>
      <c r="S110" s="111"/>
      <c r="T110" s="203"/>
      <c r="U110" s="203"/>
    </row>
    <row r="111" spans="1:21" s="204" customFormat="1" ht="45" customHeight="1" x14ac:dyDescent="0.25">
      <c r="A111" s="197"/>
      <c r="B111" s="198" t="str">
        <f t="shared" si="24"/>
        <v/>
      </c>
      <c r="C111" s="66"/>
      <c r="D111" s="66"/>
      <c r="E111" s="67" t="e">
        <f t="shared" si="23"/>
        <v>#VALUE!</v>
      </c>
      <c r="F111" s="68" t="s">
        <v>563</v>
      </c>
      <c r="G111" s="199">
        <f>HLOOKUP('Descripcion Actividades'!C11,Valimpacto!B84:G99,5)*(IF('Eval Factores de Riesgo'!$CY$62=1,0.8,IF('Eval Factores de Riesgo'!$CY$62=2,0.9,IF('Eval Factores de Riesgo'!$CY$62=3,1,IF('Eval Factores de Riesgo'!$CY$62=4,1.1,1.2)))))</f>
        <v>0</v>
      </c>
      <c r="H111" s="205" t="str">
        <f>IF(B27&lt;&gt;"",'Eval Factores de Riesgo'!$CX$62,"")</f>
        <v/>
      </c>
      <c r="I111" s="200" t="str">
        <f>IF(B111&lt;&gt;"",IF(G111&lt;='cap.7 - analisis riesgos'!$J$15,'cap.7 - analisis riesgos'!$H$15,IF(G111&lt;='cap.7 - analisis riesgos'!$J$16,'cap.7 - analisis riesgos'!$H$16,IF(G111&lt;='cap.7 - analisis riesgos'!$J$17,'cap.7 - analisis riesgos'!$H$17,IF(G111&lt;='cap.7 - analisis riesgos'!$J$18,'cap.7 - analisis riesgos'!$H$18,'cap.7 - analisis riesgos'!$H$19)))),"")</f>
        <v/>
      </c>
      <c r="J111" s="201" t="str">
        <f t="shared" si="14"/>
        <v/>
      </c>
      <c r="K111" s="202" t="str">
        <f t="shared" si="15"/>
        <v/>
      </c>
      <c r="L111" s="203" t="e">
        <f t="shared" si="22"/>
        <v>#VALUE!</v>
      </c>
      <c r="M111" s="203"/>
      <c r="N111" s="11"/>
      <c r="O111" s="11"/>
      <c r="P111" s="11"/>
      <c r="Q111" s="11"/>
      <c r="R111" s="111"/>
      <c r="S111" s="111"/>
      <c r="T111" s="203"/>
      <c r="U111" s="203"/>
    </row>
    <row r="112" spans="1:21" s="204" customFormat="1" ht="45" customHeight="1" x14ac:dyDescent="0.25">
      <c r="A112" s="197"/>
      <c r="B112" s="198" t="str">
        <f t="shared" si="24"/>
        <v/>
      </c>
      <c r="C112" s="66"/>
      <c r="D112" s="66"/>
      <c r="E112" s="67" t="e">
        <f t="shared" si="23"/>
        <v>#VALUE!</v>
      </c>
      <c r="F112" s="68"/>
      <c r="G112" s="199">
        <f>HLOOKUP('Descripcion Actividades'!C11,Valimpacto!B84:G99,6)*(IF('Eval Factores de Riesgo'!$CY$62=1,0.8,IF('Eval Factores de Riesgo'!$CY$62=2,0.9,IF('Eval Factores de Riesgo'!$CY$62=3,1,IF('Eval Factores de Riesgo'!$CY$62=4,1.1,1.2)))))</f>
        <v>0</v>
      </c>
      <c r="H112" s="205" t="str">
        <f>IF(B28&lt;&gt;"",'Eval Factores de Riesgo'!$CX$62,"")</f>
        <v/>
      </c>
      <c r="I112" s="200" t="str">
        <f>IF(B112&lt;&gt;"",IF(G112&lt;='cap.7 - analisis riesgos'!$J$15,'cap.7 - analisis riesgos'!$H$15,IF(G112&lt;='cap.7 - analisis riesgos'!$J$16,'cap.7 - analisis riesgos'!$H$16,IF(G112&lt;='cap.7 - analisis riesgos'!$J$17,'cap.7 - analisis riesgos'!$H$17,IF(G112&lt;='cap.7 - analisis riesgos'!$J$18,'cap.7 - analisis riesgos'!$H$18,'cap.7 - analisis riesgos'!$H$19)))),"")</f>
        <v/>
      </c>
      <c r="J112" s="201" t="str">
        <f t="shared" ref="J112:J143" si="25">IF(C112="Raro",1,IF(C112="Poco Probable",2,IF(C112="Posible",3,IF(C112="Probable",4,IF(C112="Casi cierta",5,"")))))</f>
        <v/>
      </c>
      <c r="K112" s="202" t="str">
        <f t="shared" ref="K112:K143" si="26">IF(D112="Mínimo",5,IF(D112="Menor",10,IF(D112="Moderado",15,IF(D112="Mayor",22,IF(D112="Catastrófico",27,"")))))</f>
        <v/>
      </c>
      <c r="L112" s="203" t="e">
        <f t="shared" si="22"/>
        <v>#VALUE!</v>
      </c>
      <c r="M112" s="203"/>
      <c r="N112" s="11"/>
      <c r="O112" s="11"/>
      <c r="P112" s="11"/>
      <c r="Q112" s="11"/>
      <c r="R112" s="111"/>
      <c r="S112" s="111"/>
      <c r="T112" s="203"/>
      <c r="U112" s="203"/>
    </row>
    <row r="113" spans="1:21" s="204" customFormat="1" ht="45" customHeight="1" x14ac:dyDescent="0.25">
      <c r="A113" s="197"/>
      <c r="B113" s="198" t="str">
        <f t="shared" si="24"/>
        <v/>
      </c>
      <c r="C113" s="66"/>
      <c r="D113" s="66"/>
      <c r="E113" s="67" t="e">
        <f t="shared" si="23"/>
        <v>#VALUE!</v>
      </c>
      <c r="F113" s="68"/>
      <c r="G113" s="199">
        <f>HLOOKUP('Descripcion Actividades'!C11,Valimpacto!B84:G99,7)*(IF('Eval Factores de Riesgo'!$CY$62=1,0.8,IF('Eval Factores de Riesgo'!$CY$62=2,0.9,IF('Eval Factores de Riesgo'!$CY$62=3,1,IF('Eval Factores de Riesgo'!$CY$62=4,1.1,1.2)))))</f>
        <v>0</v>
      </c>
      <c r="H113" s="205" t="str">
        <f>IF(B29&lt;&gt;"",'Eval Factores de Riesgo'!$CX$62,"")</f>
        <v/>
      </c>
      <c r="I113" s="200" t="str">
        <f>IF(B113&lt;&gt;"",IF(G113&lt;='cap.7 - analisis riesgos'!$J$15,'cap.7 - analisis riesgos'!$H$15,IF(G113&lt;='cap.7 - analisis riesgos'!$J$16,'cap.7 - analisis riesgos'!$H$16,IF(G113&lt;='cap.7 - analisis riesgos'!$J$17,'cap.7 - analisis riesgos'!$H$17,IF(G113&lt;='cap.7 - analisis riesgos'!$J$18,'cap.7 - analisis riesgos'!$H$18,'cap.7 - analisis riesgos'!$H$19)))),"")</f>
        <v/>
      </c>
      <c r="J113" s="201" t="str">
        <f t="shared" si="25"/>
        <v/>
      </c>
      <c r="K113" s="202" t="str">
        <f t="shared" si="26"/>
        <v/>
      </c>
      <c r="L113" s="203" t="e">
        <f t="shared" si="22"/>
        <v>#VALUE!</v>
      </c>
      <c r="M113" s="203"/>
      <c r="N113" s="11"/>
      <c r="O113" s="11"/>
      <c r="P113" s="11"/>
      <c r="Q113" s="11"/>
      <c r="R113" s="111"/>
      <c r="S113" s="111"/>
      <c r="T113" s="203"/>
      <c r="U113" s="203"/>
    </row>
    <row r="114" spans="1:21" s="204" customFormat="1" ht="45" customHeight="1" x14ac:dyDescent="0.25">
      <c r="A114" s="197"/>
      <c r="B114" s="198" t="str">
        <f t="shared" si="24"/>
        <v/>
      </c>
      <c r="C114" s="66"/>
      <c r="D114" s="66"/>
      <c r="E114" s="67" t="e">
        <f t="shared" si="23"/>
        <v>#VALUE!</v>
      </c>
      <c r="F114" s="68"/>
      <c r="G114" s="199">
        <f>HLOOKUP('Descripcion Actividades'!C11,Valimpacto!B84:G99,8)*(IF('Eval Factores de Riesgo'!$CY$62=1,0.8,IF('Eval Factores de Riesgo'!$CY$62=2,0.9,IF('Eval Factores de Riesgo'!$CY$62=3,1,IF('Eval Factores de Riesgo'!$CY$62=4,1.1,1.2)))))</f>
        <v>0</v>
      </c>
      <c r="H114" s="205" t="str">
        <f>IF(B30&lt;&gt;"",'Eval Factores de Riesgo'!$CX$62,"")</f>
        <v/>
      </c>
      <c r="I114" s="200" t="str">
        <f>IF(B114&lt;&gt;"",IF(G114&lt;='cap.7 - analisis riesgos'!$J$15,'cap.7 - analisis riesgos'!$H$15,IF(G114&lt;='cap.7 - analisis riesgos'!$J$16,'cap.7 - analisis riesgos'!$H$16,IF(G114&lt;='cap.7 - analisis riesgos'!$J$17,'cap.7 - analisis riesgos'!$H$17,IF(G114&lt;='cap.7 - analisis riesgos'!$J$18,'cap.7 - analisis riesgos'!$H$18,'cap.7 - analisis riesgos'!$H$19)))),"")</f>
        <v/>
      </c>
      <c r="J114" s="201" t="str">
        <f t="shared" si="25"/>
        <v/>
      </c>
      <c r="K114" s="202" t="str">
        <f t="shared" si="26"/>
        <v/>
      </c>
      <c r="L114" s="203" t="e">
        <f t="shared" si="22"/>
        <v>#VALUE!</v>
      </c>
      <c r="M114" s="203"/>
      <c r="N114" s="11"/>
      <c r="O114" s="11"/>
      <c r="P114" s="11"/>
      <c r="Q114" s="11"/>
      <c r="R114" s="111"/>
      <c r="S114" s="111"/>
      <c r="T114" s="203"/>
      <c r="U114" s="203"/>
    </row>
    <row r="115" spans="1:21" s="204" customFormat="1" ht="45" customHeight="1" x14ac:dyDescent="0.25">
      <c r="A115" s="197"/>
      <c r="B115" s="198" t="str">
        <f t="shared" si="24"/>
        <v/>
      </c>
      <c r="C115" s="66"/>
      <c r="D115" s="66"/>
      <c r="E115" s="67" t="e">
        <f t="shared" si="23"/>
        <v>#VALUE!</v>
      </c>
      <c r="F115" s="68"/>
      <c r="G115" s="199">
        <f>HLOOKUP('Descripcion Actividades'!C11,Valimpacto!B84:G99,9)*(IF('Eval Factores de Riesgo'!$CY$62=1,0.8,IF('Eval Factores de Riesgo'!$CY$62=2,0.9,IF('Eval Factores de Riesgo'!$CY$62=3,1,IF('Eval Factores de Riesgo'!$CY$62=4,1.1,1.2)))))</f>
        <v>0</v>
      </c>
      <c r="H115" s="205" t="str">
        <f>IF(B31&lt;&gt;"",'Eval Factores de Riesgo'!$CX$62,"")</f>
        <v/>
      </c>
      <c r="I115" s="200" t="str">
        <f>IF(B115&lt;&gt;"",IF(G115&lt;='cap.7 - analisis riesgos'!$J$15,'cap.7 - analisis riesgos'!$H$15,IF(G115&lt;='cap.7 - analisis riesgos'!$J$16,'cap.7 - analisis riesgos'!$H$16,IF(G115&lt;='cap.7 - analisis riesgos'!$J$17,'cap.7 - analisis riesgos'!$H$17,IF(G115&lt;='cap.7 - analisis riesgos'!$J$18,'cap.7 - analisis riesgos'!$H$18,'cap.7 - analisis riesgos'!$H$19)))),"")</f>
        <v/>
      </c>
      <c r="J115" s="201" t="str">
        <f t="shared" si="25"/>
        <v/>
      </c>
      <c r="K115" s="202" t="str">
        <f t="shared" si="26"/>
        <v/>
      </c>
      <c r="L115" s="203" t="e">
        <f t="shared" si="22"/>
        <v>#VALUE!</v>
      </c>
      <c r="M115" s="203"/>
      <c r="N115" s="11"/>
      <c r="O115" s="11"/>
      <c r="P115" s="11"/>
      <c r="Q115" s="11"/>
      <c r="R115" s="111"/>
      <c r="S115" s="111"/>
      <c r="T115" s="203"/>
      <c r="U115" s="203"/>
    </row>
    <row r="116" spans="1:21" s="204" customFormat="1" ht="45" customHeight="1" x14ac:dyDescent="0.25">
      <c r="A116" s="197"/>
      <c r="B116" s="198" t="str">
        <f t="shared" si="24"/>
        <v/>
      </c>
      <c r="C116" s="66"/>
      <c r="D116" s="66"/>
      <c r="E116" s="67" t="e">
        <f t="shared" si="23"/>
        <v>#VALUE!</v>
      </c>
      <c r="F116" s="68"/>
      <c r="G116" s="199">
        <f>HLOOKUP('Descripcion Actividades'!C11,Valimpacto!B84:G99,10)*(IF('Eval Factores de Riesgo'!$CY$62=1,0.8,IF('Eval Factores de Riesgo'!$CY$62=2,0.9,IF('Eval Factores de Riesgo'!$CY$62=3,1,IF('Eval Factores de Riesgo'!$CY$62=4,1.1,1.2)))))</f>
        <v>0</v>
      </c>
      <c r="H116" s="205" t="str">
        <f>IF(B32&lt;&gt;"",'Eval Factores de Riesgo'!$CX$62,"")</f>
        <v/>
      </c>
      <c r="I116" s="200" t="str">
        <f>IF(B116&lt;&gt;"",IF(G116&lt;='cap.7 - analisis riesgos'!$J$15,'cap.7 - analisis riesgos'!$H$15,IF(G116&lt;='cap.7 - analisis riesgos'!$J$16,'cap.7 - analisis riesgos'!$H$16,IF(G116&lt;='cap.7 - analisis riesgos'!$J$17,'cap.7 - analisis riesgos'!$H$17,IF(G116&lt;='cap.7 - analisis riesgos'!$J$18,'cap.7 - analisis riesgos'!$H$18,'cap.7 - analisis riesgos'!$H$19)))),"")</f>
        <v/>
      </c>
      <c r="J116" s="201" t="str">
        <f t="shared" si="25"/>
        <v/>
      </c>
      <c r="K116" s="202" t="str">
        <f t="shared" si="26"/>
        <v/>
      </c>
      <c r="L116" s="203" t="e">
        <f t="shared" si="22"/>
        <v>#VALUE!</v>
      </c>
      <c r="M116" s="203"/>
      <c r="N116" s="11"/>
      <c r="O116" s="11"/>
      <c r="P116" s="11"/>
      <c r="Q116" s="11"/>
      <c r="R116" s="111"/>
      <c r="S116" s="111"/>
      <c r="T116" s="203"/>
      <c r="U116" s="203"/>
    </row>
    <row r="117" spans="1:21" s="204" customFormat="1" ht="45" customHeight="1" x14ac:dyDescent="0.25">
      <c r="A117" s="197"/>
      <c r="B117" s="198" t="str">
        <f t="shared" si="24"/>
        <v/>
      </c>
      <c r="C117" s="66"/>
      <c r="D117" s="66"/>
      <c r="E117" s="67" t="e">
        <f t="shared" si="23"/>
        <v>#VALUE!</v>
      </c>
      <c r="F117" s="68"/>
      <c r="G117" s="199">
        <f>HLOOKUP('Descripcion Actividades'!C11,Valimpacto!B84:G99,11)*(IF('Eval Factores de Riesgo'!$CY$62=1,0.8,IF('Eval Factores de Riesgo'!$CY$62=2,0.9,IF('Eval Factores de Riesgo'!$CY$62=3,1,IF('Eval Factores de Riesgo'!$CY$62=4,1.1,1.2)))))</f>
        <v>0</v>
      </c>
      <c r="H117" s="205" t="str">
        <f>IF(B33&lt;&gt;"",'Eval Factores de Riesgo'!$CX$62,"")</f>
        <v/>
      </c>
      <c r="I117" s="200" t="str">
        <f>IF(B117&lt;&gt;"",IF(G117&lt;='cap.7 - analisis riesgos'!$J$15,'cap.7 - analisis riesgos'!$H$15,IF(G117&lt;='cap.7 - analisis riesgos'!$J$16,'cap.7 - analisis riesgos'!$H$16,IF(G117&lt;='cap.7 - analisis riesgos'!$J$17,'cap.7 - analisis riesgos'!$H$17,IF(G117&lt;='cap.7 - analisis riesgos'!$J$18,'cap.7 - analisis riesgos'!$H$18,'cap.7 - analisis riesgos'!$H$19)))),"")</f>
        <v/>
      </c>
      <c r="J117" s="201" t="str">
        <f t="shared" si="25"/>
        <v/>
      </c>
      <c r="K117" s="202" t="str">
        <f t="shared" si="26"/>
        <v/>
      </c>
      <c r="L117" s="203" t="e">
        <f t="shared" si="22"/>
        <v>#VALUE!</v>
      </c>
      <c r="M117" s="203"/>
      <c r="N117" s="11"/>
      <c r="O117" s="11"/>
      <c r="P117" s="11"/>
      <c r="Q117" s="11"/>
      <c r="R117" s="111"/>
      <c r="S117" s="111"/>
      <c r="T117" s="203"/>
      <c r="U117" s="203"/>
    </row>
    <row r="118" spans="1:21" s="204" customFormat="1" ht="45" customHeight="1" x14ac:dyDescent="0.25">
      <c r="A118" s="197"/>
      <c r="B118" s="198" t="str">
        <f t="shared" si="24"/>
        <v/>
      </c>
      <c r="C118" s="66"/>
      <c r="D118" s="66"/>
      <c r="E118" s="67" t="e">
        <f t="shared" si="23"/>
        <v>#VALUE!</v>
      </c>
      <c r="F118" s="68"/>
      <c r="G118" s="199">
        <f>HLOOKUP('Descripcion Actividades'!C11,Valimpacto!B84:G99,12)*(IF('Eval Factores de Riesgo'!$CY$62=1,0.8,IF('Eval Factores de Riesgo'!$CY$62=2,0.9,IF('Eval Factores de Riesgo'!$CY$62=3,1,IF('Eval Factores de Riesgo'!$CY$62=4,1.1,1.2)))))</f>
        <v>0</v>
      </c>
      <c r="H118" s="205" t="str">
        <f>IF(B34&lt;&gt;"",'Eval Factores de Riesgo'!$CX$62,"")</f>
        <v/>
      </c>
      <c r="I118" s="200" t="str">
        <f>IF(B118&lt;&gt;"",IF(G118&lt;='cap.7 - analisis riesgos'!$J$15,'cap.7 - analisis riesgos'!$H$15,IF(G118&lt;='cap.7 - analisis riesgos'!$J$16,'cap.7 - analisis riesgos'!$H$16,IF(G118&lt;='cap.7 - analisis riesgos'!$J$17,'cap.7 - analisis riesgos'!$H$17,IF(G118&lt;='cap.7 - analisis riesgos'!$J$18,'cap.7 - analisis riesgos'!$H$18,'cap.7 - analisis riesgos'!$H$19)))),"")</f>
        <v/>
      </c>
      <c r="J118" s="201" t="str">
        <f t="shared" si="25"/>
        <v/>
      </c>
      <c r="K118" s="202" t="str">
        <f t="shared" si="26"/>
        <v/>
      </c>
      <c r="L118" s="203" t="e">
        <f t="shared" si="22"/>
        <v>#VALUE!</v>
      </c>
      <c r="M118" s="203"/>
      <c r="N118" s="11"/>
      <c r="O118" s="11"/>
      <c r="P118" s="11"/>
      <c r="Q118" s="11"/>
      <c r="R118" s="111"/>
      <c r="S118" s="111"/>
      <c r="T118" s="203"/>
      <c r="U118" s="203"/>
    </row>
    <row r="119" spans="1:21" x14ac:dyDescent="0.25">
      <c r="G119" s="76"/>
      <c r="H119" s="62"/>
      <c r="I119" s="62"/>
      <c r="J119" s="10" t="str">
        <f t="shared" si="25"/>
        <v/>
      </c>
      <c r="K119" s="107" t="str">
        <f t="shared" si="26"/>
        <v/>
      </c>
      <c r="L119" s="10"/>
      <c r="M119" s="10"/>
      <c r="N119" s="11"/>
      <c r="O119" s="11"/>
      <c r="P119" s="11"/>
      <c r="Q119" s="11"/>
      <c r="R119" s="111"/>
      <c r="S119" s="111"/>
      <c r="T119" s="10"/>
      <c r="U119" s="10"/>
    </row>
    <row r="120" spans="1:21" ht="15.75" x14ac:dyDescent="0.25">
      <c r="B120" s="218" t="s">
        <v>29</v>
      </c>
      <c r="F120" s="75" t="str">
        <f>F106</f>
        <v>Fase 1</v>
      </c>
      <c r="G120" s="219"/>
      <c r="H120" s="217"/>
      <c r="I120" s="217"/>
      <c r="J120" s="10" t="str">
        <f t="shared" si="25"/>
        <v/>
      </c>
      <c r="K120" s="107" t="str">
        <f t="shared" si="26"/>
        <v/>
      </c>
      <c r="L120" s="10"/>
      <c r="M120" s="10"/>
      <c r="N120" s="11"/>
      <c r="O120" s="11"/>
      <c r="P120" s="11"/>
      <c r="Q120" s="11"/>
      <c r="R120" s="111"/>
      <c r="S120" s="111"/>
      <c r="T120" s="10"/>
      <c r="U120" s="10"/>
    </row>
    <row r="121" spans="1:21" x14ac:dyDescent="0.25">
      <c r="B121" s="59"/>
      <c r="C121" s="59"/>
      <c r="D121" s="59"/>
      <c r="E121" s="59"/>
      <c r="F121" s="59"/>
      <c r="G121" s="219"/>
      <c r="H121" s="217"/>
      <c r="I121" s="217"/>
      <c r="J121" s="10" t="str">
        <f t="shared" si="25"/>
        <v/>
      </c>
      <c r="K121" s="107" t="str">
        <f t="shared" si="26"/>
        <v/>
      </c>
      <c r="L121" s="10"/>
      <c r="M121" s="10"/>
      <c r="N121" s="11"/>
      <c r="O121" s="11"/>
      <c r="P121" s="11"/>
      <c r="Q121" s="11"/>
      <c r="R121" s="111"/>
      <c r="S121" s="111"/>
      <c r="T121" s="10"/>
      <c r="U121" s="10"/>
    </row>
    <row r="122" spans="1:21" x14ac:dyDescent="0.25">
      <c r="A122" s="60"/>
      <c r="B122" s="9" t="s">
        <v>33</v>
      </c>
      <c r="C122" s="9" t="s">
        <v>34</v>
      </c>
      <c r="D122" s="9" t="s">
        <v>35</v>
      </c>
      <c r="E122" s="9" t="s">
        <v>36</v>
      </c>
      <c r="F122" s="9" t="s">
        <v>37</v>
      </c>
      <c r="G122" s="220"/>
      <c r="H122" s="213" t="s">
        <v>564</v>
      </c>
      <c r="I122" s="213" t="s">
        <v>565</v>
      </c>
      <c r="J122" s="10" t="str">
        <f t="shared" si="25"/>
        <v/>
      </c>
      <c r="K122" s="107" t="str">
        <f t="shared" si="26"/>
        <v/>
      </c>
      <c r="L122" s="10"/>
      <c r="M122" s="10"/>
      <c r="N122" s="11"/>
      <c r="O122" s="11"/>
      <c r="P122" s="11"/>
      <c r="Q122" s="11"/>
      <c r="R122" s="111"/>
      <c r="S122" s="111"/>
      <c r="T122" s="10"/>
      <c r="U122" s="10"/>
    </row>
    <row r="123" spans="1:21" s="204" customFormat="1" ht="45" customHeight="1" x14ac:dyDescent="0.25">
      <c r="A123" s="197"/>
      <c r="B123" s="198" t="str">
        <f>B109</f>
        <v>Costo personal</v>
      </c>
      <c r="C123" s="66" t="s">
        <v>6</v>
      </c>
      <c r="D123" s="66" t="s">
        <v>13</v>
      </c>
      <c r="E123" s="67" t="str">
        <f t="shared" ref="E123:E132" si="27">IF(OR(L123=5,L123=10),"Bajo",IF(OR(L123=15,L123=20,L123=30,L123=40,L123=45),"Moderado",IF(OR(L123=22,L123=25,L123=44,L123=50,L123=60,L123=66,L123=75,L123=88,L123=100),"Considerable",IF(OR(L123=27,L123=54,L123=81,L123=108,L123=135),"Significativo",""))))</f>
        <v>Moderado</v>
      </c>
      <c r="F123" s="68" t="s">
        <v>563</v>
      </c>
      <c r="G123" s="199">
        <f>HLOOKUP('Descripcion Actividades'!C11,Valimpacto!B84:G99,3)*(IF('Eval Factores de Riesgo'!$CY$73=1,0.8,IF('Eval Factores de Riesgo'!$CY73=2,0.9,IF('Eval Factores de Riesgo'!$CY$73=3,1,IF('Eval Factores de Riesgo'!$CY$73=4,1.1,1.2)))))</f>
        <v>91400668.928225994</v>
      </c>
      <c r="H123" s="205" t="str">
        <f>IF(B25&lt;&gt;"",'Eval Factores de Riesgo'!$CX$73,"")</f>
        <v>Posible</v>
      </c>
      <c r="I123" s="200" t="str">
        <f>IF(B123&lt;&gt;"",IF(G123&lt;='cap.7 - analisis riesgos'!$J$15,'cap.7 - analisis riesgos'!$H$15,IF(G123&lt;='cap.7 - analisis riesgos'!$J$16,'cap.7 - analisis riesgos'!$H$16,IF(G123&lt;='cap.7 - analisis riesgos'!$J$17,'cap.7 - analisis riesgos'!$H$17,IF(G123&lt;='cap.7 - analisis riesgos'!$J$18,'cap.7 - analisis riesgos'!$H$18,'cap.7 - analisis riesgos'!$H$19)))),"")</f>
        <v>Moderado</v>
      </c>
      <c r="J123" s="201">
        <f t="shared" si="25"/>
        <v>3</v>
      </c>
      <c r="K123" s="202">
        <f t="shared" si="26"/>
        <v>10</v>
      </c>
      <c r="L123" s="203">
        <f t="shared" ref="L123:L174" si="28">+J123*K123</f>
        <v>30</v>
      </c>
      <c r="M123" s="203"/>
      <c r="N123" s="11"/>
      <c r="O123" s="11"/>
      <c r="P123" s="11"/>
      <c r="Q123" s="11"/>
      <c r="R123" s="111"/>
      <c r="S123" s="111"/>
      <c r="T123" s="203"/>
      <c r="U123" s="203"/>
    </row>
    <row r="124" spans="1:21" s="204" customFormat="1" ht="45" customHeight="1" x14ac:dyDescent="0.25">
      <c r="A124" s="197"/>
      <c r="B124" s="198" t="str">
        <f t="shared" ref="B124:B132" si="29">B110</f>
        <v>Costos indirectos</v>
      </c>
      <c r="C124" s="66" t="s">
        <v>6</v>
      </c>
      <c r="D124" s="66" t="s">
        <v>13</v>
      </c>
      <c r="E124" s="67" t="str">
        <f t="shared" si="27"/>
        <v>Moderado</v>
      </c>
      <c r="F124" s="68" t="s">
        <v>563</v>
      </c>
      <c r="G124" s="199">
        <f>HLOOKUP('Descripcion Actividades'!C11,Valimpacto!B84:G99,4)*(IF('Eval Factores de Riesgo'!$CY$73=1,0.8,IF('Eval Factores de Riesgo'!$CY75=2,0.9,IF('Eval Factores de Riesgo'!$CY$73=3,1,IF('Eval Factores de Riesgo'!$CY$73=4,1.1,1.2)))))</f>
        <v>56011515.299999997</v>
      </c>
      <c r="H124" s="205" t="str">
        <f>IF(B26&lt;&gt;"",'Eval Factores de Riesgo'!$CX$73,"")</f>
        <v>Posible</v>
      </c>
      <c r="I124" s="200" t="str">
        <f>IF(B124&lt;&gt;"",IF(G124&lt;='cap.7 - analisis riesgos'!$J$15,'cap.7 - analisis riesgos'!$H$15,IF(G124&lt;='cap.7 - analisis riesgos'!$J$16,'cap.7 - analisis riesgos'!$H$16,IF(G124&lt;='cap.7 - analisis riesgos'!$J$17,'cap.7 - analisis riesgos'!$H$17,IF(G124&lt;='cap.7 - analisis riesgos'!$J$18,'cap.7 - analisis riesgos'!$H$18,'cap.7 - analisis riesgos'!$H$19)))),"")</f>
        <v>Menor</v>
      </c>
      <c r="J124" s="201">
        <f t="shared" si="25"/>
        <v>3</v>
      </c>
      <c r="K124" s="202">
        <f t="shared" si="26"/>
        <v>10</v>
      </c>
      <c r="L124" s="203">
        <f t="shared" si="28"/>
        <v>30</v>
      </c>
      <c r="M124" s="203"/>
      <c r="N124" s="11"/>
      <c r="O124" s="11"/>
      <c r="P124" s="11"/>
      <c r="Q124" s="11"/>
      <c r="R124" s="111"/>
      <c r="S124" s="111"/>
      <c r="T124" s="203"/>
      <c r="U124" s="203"/>
    </row>
    <row r="125" spans="1:21" s="204" customFormat="1" ht="45" customHeight="1" x14ac:dyDescent="0.25">
      <c r="A125" s="197"/>
      <c r="B125" s="198" t="str">
        <f t="shared" si="29"/>
        <v/>
      </c>
      <c r="C125" s="66"/>
      <c r="D125" s="66"/>
      <c r="E125" s="67" t="e">
        <f t="shared" si="27"/>
        <v>#VALUE!</v>
      </c>
      <c r="F125" s="68" t="s">
        <v>563</v>
      </c>
      <c r="G125" s="199">
        <f>HLOOKUP('Descripcion Actividades'!C11,Valimpacto!B84:G99,5)*(IF('Eval Factores de Riesgo'!$CY$73=1,0.8,IF('Eval Factores de Riesgo'!$CY76=2,0.9,IF('Eval Factores de Riesgo'!$CY$73=3,1,IF('Eval Factores de Riesgo'!$CY$73=4,1.1,1.2)))))</f>
        <v>0</v>
      </c>
      <c r="H125" s="205" t="str">
        <f>IF(B27&lt;&gt;"",'Eval Factores de Riesgo'!$CX$73,"")</f>
        <v/>
      </c>
      <c r="I125" s="200" t="str">
        <f>IF(B125&lt;&gt;"",IF(G125&lt;='cap.7 - analisis riesgos'!$J$15,'cap.7 - analisis riesgos'!$H$15,IF(G125&lt;='cap.7 - analisis riesgos'!$J$16,'cap.7 - analisis riesgos'!$H$16,IF(G125&lt;='cap.7 - analisis riesgos'!$J$17,'cap.7 - analisis riesgos'!$H$17,IF(G125&lt;='cap.7 - analisis riesgos'!$J$18,'cap.7 - analisis riesgos'!$H$18,'cap.7 - analisis riesgos'!$H$19)))),"")</f>
        <v/>
      </c>
      <c r="J125" s="201" t="str">
        <f t="shared" si="25"/>
        <v/>
      </c>
      <c r="K125" s="202" t="str">
        <f t="shared" si="26"/>
        <v/>
      </c>
      <c r="L125" s="203" t="e">
        <f t="shared" si="28"/>
        <v>#VALUE!</v>
      </c>
      <c r="M125" s="203"/>
      <c r="N125" s="11"/>
      <c r="O125" s="11"/>
      <c r="P125" s="11"/>
      <c r="Q125" s="11"/>
      <c r="R125" s="111"/>
      <c r="S125" s="111"/>
      <c r="T125" s="203"/>
      <c r="U125" s="203"/>
    </row>
    <row r="126" spans="1:21" s="204" customFormat="1" ht="45" customHeight="1" x14ac:dyDescent="0.25">
      <c r="A126" s="197"/>
      <c r="B126" s="198" t="str">
        <f t="shared" si="29"/>
        <v/>
      </c>
      <c r="C126" s="66"/>
      <c r="D126" s="66"/>
      <c r="E126" s="67" t="e">
        <f t="shared" si="27"/>
        <v>#VALUE!</v>
      </c>
      <c r="F126" s="68"/>
      <c r="G126" s="199">
        <f>HLOOKUP('Descripcion Actividades'!C11,Valimpacto!B84:G99,6)*(IF('Eval Factores de Riesgo'!$CY$73=1,0.8,IF('Eval Factores de Riesgo'!$CY77=2,0.9,IF('Eval Factores de Riesgo'!$CY$73=3,1,IF('Eval Factores de Riesgo'!$CY$73=4,1.1,1.2)))))</f>
        <v>0</v>
      </c>
      <c r="H126" s="205" t="str">
        <f>IF(B28&lt;&gt;"",'Eval Factores de Riesgo'!$CX$73,"")</f>
        <v/>
      </c>
      <c r="I126" s="200" t="str">
        <f>IF(B126&lt;&gt;"",IF(G126&lt;='cap.7 - analisis riesgos'!$J$15,'cap.7 - analisis riesgos'!$H$15,IF(G126&lt;='cap.7 - analisis riesgos'!$J$16,'cap.7 - analisis riesgos'!$H$16,IF(G126&lt;='cap.7 - analisis riesgos'!$J$17,'cap.7 - analisis riesgos'!$H$17,IF(G126&lt;='cap.7 - analisis riesgos'!$J$18,'cap.7 - analisis riesgos'!$H$18,'cap.7 - analisis riesgos'!$H$19)))),"")</f>
        <v/>
      </c>
      <c r="J126" s="201" t="str">
        <f t="shared" si="25"/>
        <v/>
      </c>
      <c r="K126" s="202" t="str">
        <f t="shared" si="26"/>
        <v/>
      </c>
      <c r="L126" s="203" t="e">
        <f t="shared" si="28"/>
        <v>#VALUE!</v>
      </c>
      <c r="M126" s="203"/>
      <c r="N126" s="11"/>
      <c r="O126" s="11"/>
      <c r="P126" s="11"/>
      <c r="Q126" s="11"/>
      <c r="R126" s="111"/>
      <c r="S126" s="111"/>
      <c r="T126" s="203"/>
      <c r="U126" s="203"/>
    </row>
    <row r="127" spans="1:21" s="204" customFormat="1" ht="45" customHeight="1" x14ac:dyDescent="0.25">
      <c r="A127" s="197"/>
      <c r="B127" s="198" t="str">
        <f t="shared" si="29"/>
        <v/>
      </c>
      <c r="C127" s="66"/>
      <c r="D127" s="66"/>
      <c r="E127" s="67" t="e">
        <f t="shared" si="27"/>
        <v>#VALUE!</v>
      </c>
      <c r="F127" s="68"/>
      <c r="G127" s="199">
        <f>HLOOKUP('Descripcion Actividades'!C11,Valimpacto!B84:G99,7)*(IF('Eval Factores de Riesgo'!$CY$73=1,0.8,IF('Eval Factores de Riesgo'!$CY78=2,0.9,IF('Eval Factores de Riesgo'!$CY$73=3,1,IF('Eval Factores de Riesgo'!$CY$73=4,1.1,1.2)))))</f>
        <v>0</v>
      </c>
      <c r="H127" s="205" t="str">
        <f>IF(B29&lt;&gt;"",'Eval Factores de Riesgo'!$CX$73,"")</f>
        <v/>
      </c>
      <c r="I127" s="200" t="str">
        <f>IF(B127&lt;&gt;"",IF(G127&lt;='cap.7 - analisis riesgos'!$J$15,'cap.7 - analisis riesgos'!$H$15,IF(G127&lt;='cap.7 - analisis riesgos'!$J$16,'cap.7 - analisis riesgos'!$H$16,IF(G127&lt;='cap.7 - analisis riesgos'!$J$17,'cap.7 - analisis riesgos'!$H$17,IF(G127&lt;='cap.7 - analisis riesgos'!$J$18,'cap.7 - analisis riesgos'!$H$18,'cap.7 - analisis riesgos'!$H$19)))),"")</f>
        <v/>
      </c>
      <c r="J127" s="201" t="str">
        <f t="shared" si="25"/>
        <v/>
      </c>
      <c r="K127" s="202" t="str">
        <f t="shared" si="26"/>
        <v/>
      </c>
      <c r="L127" s="203" t="e">
        <f t="shared" si="28"/>
        <v>#VALUE!</v>
      </c>
      <c r="M127" s="203"/>
      <c r="N127" s="11"/>
      <c r="O127" s="11"/>
      <c r="P127" s="11"/>
      <c r="Q127" s="11"/>
      <c r="R127" s="111"/>
      <c r="S127" s="111"/>
      <c r="T127" s="203"/>
      <c r="U127" s="203"/>
    </row>
    <row r="128" spans="1:21" s="204" customFormat="1" ht="45" customHeight="1" x14ac:dyDescent="0.25">
      <c r="A128" s="197"/>
      <c r="B128" s="198" t="str">
        <f t="shared" si="29"/>
        <v/>
      </c>
      <c r="C128" s="66"/>
      <c r="D128" s="66"/>
      <c r="E128" s="67" t="e">
        <f t="shared" si="27"/>
        <v>#VALUE!</v>
      </c>
      <c r="F128" s="68"/>
      <c r="G128" s="199">
        <f>HLOOKUP('Descripcion Actividades'!C11,Valimpacto!B84:G99,8)*(IF('Eval Factores de Riesgo'!$CY$73=1,0.8,IF('Eval Factores de Riesgo'!$CY79=2,0.9,IF('Eval Factores de Riesgo'!$CY$73=3,1,IF('Eval Factores de Riesgo'!$CY$73=4,1.1,1.2)))))</f>
        <v>0</v>
      </c>
      <c r="H128" s="205" t="str">
        <f>IF(B30&lt;&gt;"",'Eval Factores de Riesgo'!$CX$73,"")</f>
        <v/>
      </c>
      <c r="I128" s="200" t="str">
        <f>IF(B128&lt;&gt;"",IF(G128&lt;='cap.7 - analisis riesgos'!$J$15,'cap.7 - analisis riesgos'!$H$15,IF(G128&lt;='cap.7 - analisis riesgos'!$J$16,'cap.7 - analisis riesgos'!$H$16,IF(G128&lt;='cap.7 - analisis riesgos'!$J$17,'cap.7 - analisis riesgos'!$H$17,IF(G128&lt;='cap.7 - analisis riesgos'!$J$18,'cap.7 - analisis riesgos'!$H$18,'cap.7 - analisis riesgos'!$H$19)))),"")</f>
        <v/>
      </c>
      <c r="J128" s="201" t="str">
        <f t="shared" si="25"/>
        <v/>
      </c>
      <c r="K128" s="202" t="str">
        <f t="shared" si="26"/>
        <v/>
      </c>
      <c r="L128" s="203" t="e">
        <f t="shared" si="28"/>
        <v>#VALUE!</v>
      </c>
      <c r="M128" s="203"/>
      <c r="N128" s="11"/>
      <c r="O128" s="11"/>
      <c r="P128" s="11"/>
      <c r="Q128" s="11"/>
      <c r="R128" s="111"/>
      <c r="S128" s="111"/>
      <c r="T128" s="203"/>
      <c r="U128" s="203"/>
    </row>
    <row r="129" spans="1:21" s="204" customFormat="1" ht="45" customHeight="1" x14ac:dyDescent="0.25">
      <c r="A129" s="197"/>
      <c r="B129" s="198" t="str">
        <f t="shared" si="29"/>
        <v/>
      </c>
      <c r="C129" s="66"/>
      <c r="D129" s="66"/>
      <c r="E129" s="67" t="e">
        <f t="shared" si="27"/>
        <v>#VALUE!</v>
      </c>
      <c r="F129" s="68"/>
      <c r="G129" s="199">
        <f>HLOOKUP('Descripcion Actividades'!C11,Valimpacto!B84:G99,9)*(IF('Eval Factores de Riesgo'!$CY$73=1,0.8,IF('Eval Factores de Riesgo'!$CY80=2,0.9,IF('Eval Factores de Riesgo'!$CY$73=3,1,IF('Eval Factores de Riesgo'!$CY$73=4,1.1,1.2)))))</f>
        <v>0</v>
      </c>
      <c r="H129" s="205" t="str">
        <f>IF(B31&lt;&gt;"",'Eval Factores de Riesgo'!$CX$73,"")</f>
        <v/>
      </c>
      <c r="I129" s="200" t="str">
        <f>IF(B129&lt;&gt;"",IF(G129&lt;='cap.7 - analisis riesgos'!$J$15,'cap.7 - analisis riesgos'!$H$15,IF(G129&lt;='cap.7 - analisis riesgos'!$J$16,'cap.7 - analisis riesgos'!$H$16,IF(G129&lt;='cap.7 - analisis riesgos'!$J$17,'cap.7 - analisis riesgos'!$H$17,IF(G129&lt;='cap.7 - analisis riesgos'!$J$18,'cap.7 - analisis riesgos'!$H$18,'cap.7 - analisis riesgos'!$H$19)))),"")</f>
        <v/>
      </c>
      <c r="J129" s="201" t="str">
        <f t="shared" si="25"/>
        <v/>
      </c>
      <c r="K129" s="202" t="str">
        <f t="shared" si="26"/>
        <v/>
      </c>
      <c r="L129" s="203" t="e">
        <f t="shared" si="28"/>
        <v>#VALUE!</v>
      </c>
      <c r="M129" s="203"/>
      <c r="N129" s="11"/>
      <c r="O129" s="11"/>
      <c r="P129" s="11"/>
      <c r="Q129" s="11"/>
      <c r="R129" s="111"/>
      <c r="S129" s="111"/>
      <c r="T129" s="203"/>
      <c r="U129" s="203"/>
    </row>
    <row r="130" spans="1:21" s="204" customFormat="1" ht="45" customHeight="1" x14ac:dyDescent="0.25">
      <c r="A130" s="197"/>
      <c r="B130" s="198" t="str">
        <f t="shared" si="29"/>
        <v/>
      </c>
      <c r="C130" s="66"/>
      <c r="D130" s="66"/>
      <c r="E130" s="67" t="e">
        <f t="shared" si="27"/>
        <v>#VALUE!</v>
      </c>
      <c r="F130" s="68"/>
      <c r="G130" s="199">
        <f>HLOOKUP('Descripcion Actividades'!C11,Valimpacto!B84:G99,10)*(IF('Eval Factores de Riesgo'!$CY$73=1,0.8,IF('Eval Factores de Riesgo'!$CY81=2,0.9,IF('Eval Factores de Riesgo'!$CY$73=3,1,IF('Eval Factores de Riesgo'!$CY$73=4,1.1,1.2)))))</f>
        <v>0</v>
      </c>
      <c r="H130" s="205" t="str">
        <f>IF(B32&lt;&gt;"",'Eval Factores de Riesgo'!$CX$73,"")</f>
        <v/>
      </c>
      <c r="I130" s="200" t="str">
        <f>IF(B130&lt;&gt;"",IF(G130&lt;='cap.7 - analisis riesgos'!$J$15,'cap.7 - analisis riesgos'!$H$15,IF(G130&lt;='cap.7 - analisis riesgos'!$J$16,'cap.7 - analisis riesgos'!$H$16,IF(G130&lt;='cap.7 - analisis riesgos'!$J$17,'cap.7 - analisis riesgos'!$H$17,IF(G130&lt;='cap.7 - analisis riesgos'!$J$18,'cap.7 - analisis riesgos'!$H$18,'cap.7 - analisis riesgos'!$H$19)))),"")</f>
        <v/>
      </c>
      <c r="J130" s="201" t="str">
        <f t="shared" si="25"/>
        <v/>
      </c>
      <c r="K130" s="202" t="str">
        <f t="shared" si="26"/>
        <v/>
      </c>
      <c r="L130" s="203" t="e">
        <f t="shared" si="28"/>
        <v>#VALUE!</v>
      </c>
      <c r="M130" s="203"/>
      <c r="N130" s="11"/>
      <c r="O130" s="11"/>
      <c r="P130" s="11"/>
      <c r="Q130" s="11"/>
      <c r="R130" s="111"/>
      <c r="S130" s="111"/>
      <c r="T130" s="203"/>
      <c r="U130" s="203"/>
    </row>
    <row r="131" spans="1:21" s="204" customFormat="1" ht="45" customHeight="1" x14ac:dyDescent="0.25">
      <c r="A131" s="197"/>
      <c r="B131" s="198" t="str">
        <f t="shared" si="29"/>
        <v/>
      </c>
      <c r="C131" s="66"/>
      <c r="D131" s="66"/>
      <c r="E131" s="67" t="e">
        <f t="shared" si="27"/>
        <v>#VALUE!</v>
      </c>
      <c r="F131" s="68"/>
      <c r="G131" s="199">
        <f>HLOOKUP('Descripcion Actividades'!C11,Valimpacto!B84:G99,11)*(IF('Eval Factores de Riesgo'!$CY$73=1,0.8,IF('Eval Factores de Riesgo'!$CY82=2,0.9,IF('Eval Factores de Riesgo'!$CY$73=3,1,IF('Eval Factores de Riesgo'!$CY$73=4,1.1,1.2)))))</f>
        <v>0</v>
      </c>
      <c r="H131" s="205" t="str">
        <f>IF(B33&lt;&gt;"",'Eval Factores de Riesgo'!$CX$73,"")</f>
        <v/>
      </c>
      <c r="I131" s="200" t="str">
        <f>IF(B131&lt;&gt;"",IF(G131&lt;='cap.7 - analisis riesgos'!$J$15,'cap.7 - analisis riesgos'!$H$15,IF(G131&lt;='cap.7 - analisis riesgos'!$J$16,'cap.7 - analisis riesgos'!$H$16,IF(G131&lt;='cap.7 - analisis riesgos'!$J$17,'cap.7 - analisis riesgos'!$H$17,IF(G131&lt;='cap.7 - analisis riesgos'!$J$18,'cap.7 - analisis riesgos'!$H$18,'cap.7 - analisis riesgos'!$H$19)))),"")</f>
        <v/>
      </c>
      <c r="J131" s="201" t="str">
        <f t="shared" si="25"/>
        <v/>
      </c>
      <c r="K131" s="202" t="str">
        <f t="shared" si="26"/>
        <v/>
      </c>
      <c r="L131" s="203" t="e">
        <f t="shared" si="28"/>
        <v>#VALUE!</v>
      </c>
      <c r="M131" s="203"/>
      <c r="N131" s="11"/>
      <c r="O131" s="11"/>
      <c r="P131" s="11"/>
      <c r="Q131" s="11"/>
      <c r="R131" s="111"/>
      <c r="S131" s="111"/>
      <c r="T131" s="203"/>
      <c r="U131" s="203"/>
    </row>
    <row r="132" spans="1:21" s="204" customFormat="1" ht="45" customHeight="1" x14ac:dyDescent="0.25">
      <c r="A132" s="197"/>
      <c r="B132" s="198" t="str">
        <f t="shared" si="29"/>
        <v/>
      </c>
      <c r="C132" s="66"/>
      <c r="D132" s="66"/>
      <c r="E132" s="67" t="e">
        <f t="shared" si="27"/>
        <v>#VALUE!</v>
      </c>
      <c r="F132" s="68"/>
      <c r="G132" s="199">
        <f>HLOOKUP('Descripcion Actividades'!C11,Valimpacto!B84:G99,12)*(IF('Eval Factores de Riesgo'!$CY$73=1,0.8,IF('Eval Factores de Riesgo'!$CY83=2,0.9,IF('Eval Factores de Riesgo'!$CY$73=3,1,IF('Eval Factores de Riesgo'!$CY$73=4,1.1,1.2)))))</f>
        <v>0</v>
      </c>
      <c r="H132" s="205" t="str">
        <f>IF(B34&lt;&gt;"",'Eval Factores de Riesgo'!$CX$73,"")</f>
        <v/>
      </c>
      <c r="I132" s="200" t="str">
        <f>IF(B132&lt;&gt;"",IF(G132&lt;='cap.7 - analisis riesgos'!$J$15,'cap.7 - analisis riesgos'!$H$15,IF(G132&lt;='cap.7 - analisis riesgos'!$J$16,'cap.7 - analisis riesgos'!$H$16,IF(G132&lt;='cap.7 - analisis riesgos'!$J$17,'cap.7 - analisis riesgos'!$H$17,IF(G132&lt;='cap.7 - analisis riesgos'!$J$18,'cap.7 - analisis riesgos'!$H$18,'cap.7 - analisis riesgos'!$H$19)))),"")</f>
        <v/>
      </c>
      <c r="J132" s="201" t="str">
        <f t="shared" si="25"/>
        <v/>
      </c>
      <c r="K132" s="202" t="str">
        <f t="shared" si="26"/>
        <v/>
      </c>
      <c r="L132" s="203" t="e">
        <f t="shared" si="28"/>
        <v>#VALUE!</v>
      </c>
      <c r="M132" s="203"/>
      <c r="N132" s="11"/>
      <c r="O132" s="11"/>
      <c r="P132" s="11"/>
      <c r="Q132" s="11"/>
      <c r="R132" s="111"/>
      <c r="S132" s="111"/>
      <c r="T132" s="203"/>
      <c r="U132" s="203"/>
    </row>
    <row r="133" spans="1:21" x14ac:dyDescent="0.25">
      <c r="G133" s="76"/>
      <c r="H133" s="62"/>
      <c r="I133" s="62"/>
      <c r="J133" s="10" t="str">
        <f t="shared" si="25"/>
        <v/>
      </c>
      <c r="K133" s="107" t="str">
        <f t="shared" si="26"/>
        <v/>
      </c>
      <c r="L133" s="10"/>
      <c r="M133" s="10"/>
      <c r="N133" s="11"/>
      <c r="O133" s="11"/>
      <c r="P133" s="11"/>
      <c r="Q133" s="11"/>
      <c r="R133" s="111"/>
      <c r="S133" s="111"/>
      <c r="T133" s="10"/>
      <c r="U133" s="10"/>
    </row>
    <row r="134" spans="1:21" ht="15.75" x14ac:dyDescent="0.25">
      <c r="B134" s="218" t="s">
        <v>30</v>
      </c>
      <c r="F134" s="75" t="str">
        <f>F120</f>
        <v>Fase 1</v>
      </c>
      <c r="G134" s="219"/>
      <c r="H134" s="217"/>
      <c r="I134" s="217"/>
      <c r="J134" s="10" t="str">
        <f t="shared" si="25"/>
        <v/>
      </c>
      <c r="K134" s="107" t="str">
        <f t="shared" si="26"/>
        <v/>
      </c>
      <c r="L134" s="10"/>
      <c r="M134" s="10"/>
      <c r="N134" s="11"/>
      <c r="O134" s="11"/>
      <c r="P134" s="11"/>
      <c r="Q134" s="11"/>
      <c r="R134" s="111"/>
      <c r="S134" s="111"/>
      <c r="T134" s="10"/>
      <c r="U134" s="10"/>
    </row>
    <row r="135" spans="1:21" x14ac:dyDescent="0.25">
      <c r="B135" s="59"/>
      <c r="C135" s="59"/>
      <c r="D135" s="59"/>
      <c r="E135" s="59"/>
      <c r="F135" s="59"/>
      <c r="G135" s="219"/>
      <c r="H135" s="217"/>
      <c r="I135" s="217"/>
      <c r="J135" s="10" t="str">
        <f t="shared" si="25"/>
        <v/>
      </c>
      <c r="K135" s="107" t="str">
        <f t="shared" si="26"/>
        <v/>
      </c>
      <c r="L135" s="10"/>
      <c r="M135" s="10"/>
      <c r="N135" s="11"/>
      <c r="O135" s="11"/>
      <c r="P135" s="11"/>
      <c r="Q135" s="11"/>
      <c r="R135" s="111"/>
      <c r="S135" s="111"/>
      <c r="T135" s="10"/>
      <c r="U135" s="10"/>
    </row>
    <row r="136" spans="1:21" x14ac:dyDescent="0.25">
      <c r="A136" s="60"/>
      <c r="B136" s="9" t="s">
        <v>33</v>
      </c>
      <c r="C136" s="9" t="s">
        <v>34</v>
      </c>
      <c r="D136" s="9" t="s">
        <v>35</v>
      </c>
      <c r="E136" s="9" t="s">
        <v>36</v>
      </c>
      <c r="F136" s="9" t="s">
        <v>37</v>
      </c>
      <c r="G136" s="220"/>
      <c r="H136" s="213" t="s">
        <v>564</v>
      </c>
      <c r="I136" s="213" t="s">
        <v>565</v>
      </c>
      <c r="J136" s="10" t="str">
        <f t="shared" si="25"/>
        <v/>
      </c>
      <c r="K136" s="107" t="str">
        <f t="shared" si="26"/>
        <v/>
      </c>
      <c r="L136" s="10"/>
      <c r="M136" s="10"/>
      <c r="N136" s="11"/>
      <c r="O136" s="11"/>
      <c r="P136" s="11"/>
      <c r="Q136" s="11"/>
      <c r="R136" s="111"/>
      <c r="S136" s="111"/>
      <c r="T136" s="10"/>
      <c r="U136" s="10"/>
    </row>
    <row r="137" spans="1:21" s="204" customFormat="1" ht="45" customHeight="1" x14ac:dyDescent="0.25">
      <c r="A137" s="197"/>
      <c r="B137" s="198" t="str">
        <f>B123</f>
        <v>Costo personal</v>
      </c>
      <c r="C137" s="66" t="s">
        <v>6</v>
      </c>
      <c r="D137" s="66" t="s">
        <v>13</v>
      </c>
      <c r="E137" s="67" t="str">
        <f t="shared" ref="E137:E146" si="30">IF(OR(L137=5,L137=10),"Bajo",IF(OR(L137=15,L137=20,L137=30,L137=40,L137=45),"Moderado",IF(OR(L137=22,L137=25,L137=44,L137=50,L137=60,L137=66,L137=75,L137=88,L137=100),"Considerable",IF(OR(L137=27,L137=54,L137=81,L137=108,L137=135),"Significativo",""))))</f>
        <v>Moderado</v>
      </c>
      <c r="F137" s="68" t="s">
        <v>563</v>
      </c>
      <c r="G137" s="199">
        <f>HLOOKUP('Descripcion Actividades'!C11,Valimpacto!B84:G99,3)*(IF('Eval Factores de Riesgo'!$CY$83=1,0.8,IF('Eval Factores de Riesgo'!$CY83=2,0.9,IF('Eval Factores de Riesgo'!$CY$83=3,1,IF('Eval Factores de Riesgo'!$CY$83=4,1.1,1.2)))))</f>
        <v>91400668.928225994</v>
      </c>
      <c r="H137" s="205" t="str">
        <f>IF(B25&lt;&gt;"",'Eval Factores de Riesgo'!$CX$83,"")</f>
        <v>Posible</v>
      </c>
      <c r="I137" s="200" t="str">
        <f>IF(B137&lt;&gt;"",IF(G137&lt;='cap.7 - analisis riesgos'!$J$15,'cap.7 - analisis riesgos'!$H$15,IF(G137&lt;='cap.7 - analisis riesgos'!$J$16,'cap.7 - analisis riesgos'!$H$16,IF(G137&lt;='cap.7 - analisis riesgos'!$J$17,'cap.7 - analisis riesgos'!$H$17,IF(G137&lt;='cap.7 - analisis riesgos'!$J$18,'cap.7 - analisis riesgos'!$H$18,'cap.7 - analisis riesgos'!$H$19)))),"")</f>
        <v>Moderado</v>
      </c>
      <c r="J137" s="201">
        <f t="shared" si="25"/>
        <v>3</v>
      </c>
      <c r="K137" s="202">
        <f t="shared" si="26"/>
        <v>10</v>
      </c>
      <c r="L137" s="203">
        <f t="shared" si="28"/>
        <v>30</v>
      </c>
      <c r="M137" s="203"/>
      <c r="N137" s="11"/>
      <c r="O137" s="11"/>
      <c r="P137" s="11"/>
      <c r="Q137" s="11"/>
      <c r="R137" s="111"/>
      <c r="S137" s="111"/>
      <c r="T137" s="203"/>
      <c r="U137" s="203"/>
    </row>
    <row r="138" spans="1:21" s="204" customFormat="1" ht="45" customHeight="1" x14ac:dyDescent="0.25">
      <c r="A138" s="197"/>
      <c r="B138" s="198" t="str">
        <f t="shared" ref="B138:B146" si="31">B124</f>
        <v>Costos indirectos</v>
      </c>
      <c r="C138" s="66" t="s">
        <v>6</v>
      </c>
      <c r="D138" s="66" t="s">
        <v>13</v>
      </c>
      <c r="E138" s="67" t="str">
        <f t="shared" si="30"/>
        <v>Moderado</v>
      </c>
      <c r="F138" s="68" t="s">
        <v>563</v>
      </c>
      <c r="G138" s="199">
        <f>HLOOKUP('Descripcion Actividades'!C11,Valimpacto!B84:G99,4)*(IF('Eval Factores de Riesgo'!$CY$83=1,0.8,IF('Eval Factores de Riesgo'!$CY85=2,0.9,IF('Eval Factores de Riesgo'!$CY$83=3,1,IF('Eval Factores de Riesgo'!$CY$83=4,1.1,1.2)))))</f>
        <v>56011515.299999997</v>
      </c>
      <c r="H138" s="205" t="str">
        <f>IF(B26&lt;&gt;"",'Eval Factores de Riesgo'!$CX$83,"")</f>
        <v>Posible</v>
      </c>
      <c r="I138" s="200" t="str">
        <f>IF(B138&lt;&gt;"",IF(G138&lt;='cap.7 - analisis riesgos'!$J$15,'cap.7 - analisis riesgos'!$H$15,IF(G138&lt;='cap.7 - analisis riesgos'!$J$16,'cap.7 - analisis riesgos'!$H$16,IF(G138&lt;='cap.7 - analisis riesgos'!$J$17,'cap.7 - analisis riesgos'!$H$17,IF(G138&lt;='cap.7 - analisis riesgos'!$J$18,'cap.7 - analisis riesgos'!$H$18,'cap.7 - analisis riesgos'!$H$19)))),"")</f>
        <v>Menor</v>
      </c>
      <c r="J138" s="201">
        <f t="shared" si="25"/>
        <v>3</v>
      </c>
      <c r="K138" s="202">
        <f t="shared" si="26"/>
        <v>10</v>
      </c>
      <c r="L138" s="203">
        <f t="shared" si="28"/>
        <v>30</v>
      </c>
      <c r="M138" s="203"/>
      <c r="N138" s="11"/>
      <c r="O138" s="11"/>
      <c r="P138" s="11"/>
      <c r="Q138" s="11"/>
      <c r="R138" s="111"/>
      <c r="S138" s="111"/>
      <c r="T138" s="203"/>
      <c r="U138" s="203"/>
    </row>
    <row r="139" spans="1:21" s="204" customFormat="1" ht="45" customHeight="1" x14ac:dyDescent="0.25">
      <c r="A139" s="197"/>
      <c r="B139" s="198" t="str">
        <f t="shared" si="31"/>
        <v/>
      </c>
      <c r="C139" s="66"/>
      <c r="D139" s="66"/>
      <c r="E139" s="67" t="e">
        <f t="shared" si="30"/>
        <v>#VALUE!</v>
      </c>
      <c r="F139" s="68" t="s">
        <v>563</v>
      </c>
      <c r="G139" s="199">
        <f>HLOOKUP('Descripcion Actividades'!C11,Valimpacto!B84:G99,5)*(IF('Eval Factores de Riesgo'!$CY$83=1,0.8,IF('Eval Factores de Riesgo'!$CY86=2,0.9,IF('Eval Factores de Riesgo'!$CY$83=3,1,IF('Eval Factores de Riesgo'!$CY$83=4,1.1,1.2)))))</f>
        <v>0</v>
      </c>
      <c r="H139" s="205" t="str">
        <f>IF(B27&lt;&gt;"",'Eval Factores de Riesgo'!$CX$83,"")</f>
        <v/>
      </c>
      <c r="I139" s="200" t="str">
        <f>IF(B139&lt;&gt;"",IF(G139&lt;='cap.7 - analisis riesgos'!$J$15,'cap.7 - analisis riesgos'!$H$15,IF(G139&lt;='cap.7 - analisis riesgos'!$J$16,'cap.7 - analisis riesgos'!$H$16,IF(G139&lt;='cap.7 - analisis riesgos'!$J$17,'cap.7 - analisis riesgos'!$H$17,IF(G139&lt;='cap.7 - analisis riesgos'!$J$18,'cap.7 - analisis riesgos'!$H$18,'cap.7 - analisis riesgos'!$H$19)))),"")</f>
        <v/>
      </c>
      <c r="J139" s="201" t="str">
        <f t="shared" si="25"/>
        <v/>
      </c>
      <c r="K139" s="202" t="str">
        <f t="shared" si="26"/>
        <v/>
      </c>
      <c r="L139" s="203" t="e">
        <f t="shared" si="28"/>
        <v>#VALUE!</v>
      </c>
      <c r="M139" s="203"/>
      <c r="N139" s="11"/>
      <c r="O139" s="11"/>
      <c r="P139" s="11"/>
      <c r="Q139" s="11"/>
      <c r="R139" s="111"/>
      <c r="S139" s="111"/>
      <c r="T139" s="203"/>
      <c r="U139" s="203"/>
    </row>
    <row r="140" spans="1:21" s="204" customFormat="1" ht="45" customHeight="1" x14ac:dyDescent="0.25">
      <c r="A140" s="197"/>
      <c r="B140" s="198" t="str">
        <f t="shared" si="31"/>
        <v/>
      </c>
      <c r="C140" s="66"/>
      <c r="D140" s="66"/>
      <c r="E140" s="67" t="e">
        <f t="shared" si="30"/>
        <v>#VALUE!</v>
      </c>
      <c r="F140" s="68"/>
      <c r="G140" s="199">
        <f>HLOOKUP('Descripcion Actividades'!C11,Valimpacto!B84:G99,6)*(IF('Eval Factores de Riesgo'!$CY$83=1,0.8,IF('Eval Factores de Riesgo'!$CY87=2,0.9,IF('Eval Factores de Riesgo'!$CY$83=3,1,IF('Eval Factores de Riesgo'!$CY$83=4,1.1,1.2)))))</f>
        <v>0</v>
      </c>
      <c r="H140" s="205" t="str">
        <f>IF(B28&lt;&gt;"",'Eval Factores de Riesgo'!$CX$83,"")</f>
        <v/>
      </c>
      <c r="I140" s="200" t="str">
        <f>IF(B140&lt;&gt;"",IF(G140&lt;='cap.7 - analisis riesgos'!$J$15,'cap.7 - analisis riesgos'!$H$15,IF(G140&lt;='cap.7 - analisis riesgos'!$J$16,'cap.7 - analisis riesgos'!$H$16,IF(G140&lt;='cap.7 - analisis riesgos'!$J$17,'cap.7 - analisis riesgos'!$H$17,IF(G140&lt;='cap.7 - analisis riesgos'!$J$18,'cap.7 - analisis riesgos'!$H$18,'cap.7 - analisis riesgos'!$H$19)))),"")</f>
        <v/>
      </c>
      <c r="J140" s="201" t="str">
        <f t="shared" si="25"/>
        <v/>
      </c>
      <c r="K140" s="202" t="str">
        <f t="shared" si="26"/>
        <v/>
      </c>
      <c r="L140" s="203" t="e">
        <f t="shared" si="28"/>
        <v>#VALUE!</v>
      </c>
      <c r="M140" s="203"/>
      <c r="N140" s="11"/>
      <c r="O140" s="11"/>
      <c r="P140" s="11"/>
      <c r="Q140" s="11"/>
      <c r="R140" s="111"/>
      <c r="S140" s="111"/>
      <c r="T140" s="203"/>
      <c r="U140" s="203"/>
    </row>
    <row r="141" spans="1:21" s="204" customFormat="1" ht="45" customHeight="1" x14ac:dyDescent="0.25">
      <c r="A141" s="197"/>
      <c r="B141" s="198" t="str">
        <f t="shared" si="31"/>
        <v/>
      </c>
      <c r="C141" s="66"/>
      <c r="D141" s="66"/>
      <c r="E141" s="67" t="e">
        <f t="shared" si="30"/>
        <v>#VALUE!</v>
      </c>
      <c r="F141" s="68"/>
      <c r="G141" s="199">
        <f>HLOOKUP('Descripcion Actividades'!C11,Valimpacto!B84:G99,7)*(IF('Eval Factores de Riesgo'!$CY$83=1,0.8,IF('Eval Factores de Riesgo'!$CY88=2,0.9,IF('Eval Factores de Riesgo'!$CY$83=3,1,IF('Eval Factores de Riesgo'!$CY$83=4,1.1,1.2)))))</f>
        <v>0</v>
      </c>
      <c r="H141" s="205" t="str">
        <f>IF(B29&lt;&gt;"",'Eval Factores de Riesgo'!$CX$83,"")</f>
        <v/>
      </c>
      <c r="I141" s="200" t="str">
        <f>IF(B141&lt;&gt;"",IF(G141&lt;='cap.7 - analisis riesgos'!$J$15,'cap.7 - analisis riesgos'!$H$15,IF(G141&lt;='cap.7 - analisis riesgos'!$J$16,'cap.7 - analisis riesgos'!$H$16,IF(G141&lt;='cap.7 - analisis riesgos'!$J$17,'cap.7 - analisis riesgos'!$H$17,IF(G141&lt;='cap.7 - analisis riesgos'!$J$18,'cap.7 - analisis riesgos'!$H$18,'cap.7 - analisis riesgos'!$H$19)))),"")</f>
        <v/>
      </c>
      <c r="J141" s="201" t="str">
        <f t="shared" si="25"/>
        <v/>
      </c>
      <c r="K141" s="202" t="str">
        <f t="shared" si="26"/>
        <v/>
      </c>
      <c r="L141" s="203" t="e">
        <f t="shared" si="28"/>
        <v>#VALUE!</v>
      </c>
      <c r="M141" s="203"/>
      <c r="N141" s="11"/>
      <c r="O141" s="11"/>
      <c r="P141" s="11"/>
      <c r="Q141" s="11"/>
      <c r="R141" s="111"/>
      <c r="S141" s="111"/>
      <c r="T141" s="203"/>
      <c r="U141" s="203"/>
    </row>
    <row r="142" spans="1:21" s="204" customFormat="1" ht="45" customHeight="1" x14ac:dyDescent="0.25">
      <c r="A142" s="197"/>
      <c r="B142" s="198" t="str">
        <f t="shared" si="31"/>
        <v/>
      </c>
      <c r="C142" s="66"/>
      <c r="D142" s="66"/>
      <c r="E142" s="67" t="e">
        <f t="shared" si="30"/>
        <v>#VALUE!</v>
      </c>
      <c r="F142" s="68"/>
      <c r="G142" s="199">
        <f>HLOOKUP('Descripcion Actividades'!C11,Valimpacto!B84:G99,8)*(IF('Eval Factores de Riesgo'!$CY$83=1,0.8,IF('Eval Factores de Riesgo'!$CY89=2,0.9,IF('Eval Factores de Riesgo'!$CY$83=3,1,IF('Eval Factores de Riesgo'!$CY$83=4,1.1,1.2)))))</f>
        <v>0</v>
      </c>
      <c r="H142" s="205" t="str">
        <f>IF(B30&lt;&gt;"",'Eval Factores de Riesgo'!$CX$83,"")</f>
        <v/>
      </c>
      <c r="I142" s="200" t="str">
        <f>IF(B142&lt;&gt;"",IF(G142&lt;='cap.7 - analisis riesgos'!$J$15,'cap.7 - analisis riesgos'!$H$15,IF(G142&lt;='cap.7 - analisis riesgos'!$J$16,'cap.7 - analisis riesgos'!$H$16,IF(G142&lt;='cap.7 - analisis riesgos'!$J$17,'cap.7 - analisis riesgos'!$H$17,IF(G142&lt;='cap.7 - analisis riesgos'!$J$18,'cap.7 - analisis riesgos'!$H$18,'cap.7 - analisis riesgos'!$H$19)))),"")</f>
        <v/>
      </c>
      <c r="J142" s="201" t="str">
        <f t="shared" si="25"/>
        <v/>
      </c>
      <c r="K142" s="202" t="str">
        <f t="shared" si="26"/>
        <v/>
      </c>
      <c r="L142" s="203" t="e">
        <f t="shared" si="28"/>
        <v>#VALUE!</v>
      </c>
      <c r="M142" s="203"/>
      <c r="N142" s="11"/>
      <c r="O142" s="11"/>
      <c r="P142" s="11"/>
      <c r="Q142" s="11"/>
      <c r="R142" s="111"/>
      <c r="S142" s="111"/>
      <c r="T142" s="203"/>
      <c r="U142" s="203"/>
    </row>
    <row r="143" spans="1:21" s="204" customFormat="1" ht="45" customHeight="1" x14ac:dyDescent="0.25">
      <c r="A143" s="197"/>
      <c r="B143" s="198" t="str">
        <f t="shared" si="31"/>
        <v/>
      </c>
      <c r="C143" s="66"/>
      <c r="D143" s="66"/>
      <c r="E143" s="67" t="e">
        <f t="shared" si="30"/>
        <v>#VALUE!</v>
      </c>
      <c r="F143" s="68"/>
      <c r="G143" s="199">
        <f>HLOOKUP('Descripcion Actividades'!C11,Valimpacto!B84:G99,9)*(IF('Eval Factores de Riesgo'!$CY$83=1,0.8,IF('Eval Factores de Riesgo'!$CY90=2,0.9,IF('Eval Factores de Riesgo'!$CY$83=3,1,IF('Eval Factores de Riesgo'!$CY$83=4,1.1,1.2)))))</f>
        <v>0</v>
      </c>
      <c r="H143" s="205" t="str">
        <f>IF(B31&lt;&gt;"",'Eval Factores de Riesgo'!$CX$83,"")</f>
        <v/>
      </c>
      <c r="I143" s="200" t="str">
        <f>IF(B143&lt;&gt;"",IF(G143&lt;='cap.7 - analisis riesgos'!$J$15,'cap.7 - analisis riesgos'!$H$15,IF(G143&lt;='cap.7 - analisis riesgos'!$J$16,'cap.7 - analisis riesgos'!$H$16,IF(G143&lt;='cap.7 - analisis riesgos'!$J$17,'cap.7 - analisis riesgos'!$H$17,IF(G143&lt;='cap.7 - analisis riesgos'!$J$18,'cap.7 - analisis riesgos'!$H$18,'cap.7 - analisis riesgos'!$H$19)))),"")</f>
        <v/>
      </c>
      <c r="J143" s="201" t="str">
        <f t="shared" si="25"/>
        <v/>
      </c>
      <c r="K143" s="202" t="str">
        <f t="shared" si="26"/>
        <v/>
      </c>
      <c r="L143" s="203" t="e">
        <f t="shared" si="28"/>
        <v>#VALUE!</v>
      </c>
      <c r="M143" s="203"/>
      <c r="N143" s="11"/>
      <c r="O143" s="11"/>
      <c r="P143" s="11"/>
      <c r="Q143" s="11"/>
      <c r="R143" s="111"/>
      <c r="S143" s="111"/>
      <c r="T143" s="203"/>
      <c r="U143" s="203"/>
    </row>
    <row r="144" spans="1:21" s="204" customFormat="1" ht="45" customHeight="1" x14ac:dyDescent="0.25">
      <c r="A144" s="197"/>
      <c r="B144" s="198" t="str">
        <f t="shared" si="31"/>
        <v/>
      </c>
      <c r="C144" s="66"/>
      <c r="D144" s="66"/>
      <c r="E144" s="67" t="e">
        <f t="shared" si="30"/>
        <v>#VALUE!</v>
      </c>
      <c r="F144" s="68"/>
      <c r="G144" s="199">
        <f>HLOOKUP('Descripcion Actividades'!C11,Valimpacto!B84:G99,10)*(IF('Eval Factores de Riesgo'!$CY$83=1,0.8,IF('Eval Factores de Riesgo'!$CY91=2,0.9,IF('Eval Factores de Riesgo'!$CY$83=3,1,IF('Eval Factores de Riesgo'!$CY$83=4,1.1,1.2)))))</f>
        <v>0</v>
      </c>
      <c r="H144" s="205" t="str">
        <f>IF(B32&lt;&gt;"",'Eval Factores de Riesgo'!$CX$83,"")</f>
        <v/>
      </c>
      <c r="I144" s="200" t="str">
        <f>IF(B144&lt;&gt;"",IF(G144&lt;='cap.7 - analisis riesgos'!$J$15,'cap.7 - analisis riesgos'!$H$15,IF(G144&lt;='cap.7 - analisis riesgos'!$J$16,'cap.7 - analisis riesgos'!$H$16,IF(G144&lt;='cap.7 - analisis riesgos'!$J$17,'cap.7 - analisis riesgos'!$H$17,IF(G144&lt;='cap.7 - analisis riesgos'!$J$18,'cap.7 - analisis riesgos'!$H$18,'cap.7 - analisis riesgos'!$H$19)))),"")</f>
        <v/>
      </c>
      <c r="J144" s="201" t="str">
        <f t="shared" ref="J144:J161" si="32">IF(C144="Raro",1,IF(C144="Poco Probable",2,IF(C144="Posible",3,IF(C144="Probable",4,IF(C144="Casi cierta",5,"")))))</f>
        <v/>
      </c>
      <c r="K144" s="202" t="str">
        <f t="shared" ref="K144:K174" si="33">IF(D144="Mínimo",5,IF(D144="Menor",10,IF(D144="Moderado",15,IF(D144="Mayor",22,IF(D144="Catastrófico",27,"")))))</f>
        <v/>
      </c>
      <c r="L144" s="203" t="e">
        <f t="shared" si="28"/>
        <v>#VALUE!</v>
      </c>
      <c r="M144" s="203"/>
      <c r="N144" s="11"/>
      <c r="O144" s="11"/>
      <c r="P144" s="11"/>
      <c r="Q144" s="11"/>
      <c r="R144" s="111"/>
      <c r="S144" s="111"/>
      <c r="T144" s="203"/>
      <c r="U144" s="203"/>
    </row>
    <row r="145" spans="1:21" s="204" customFormat="1" ht="45" customHeight="1" x14ac:dyDescent="0.25">
      <c r="A145" s="197"/>
      <c r="B145" s="198" t="str">
        <f t="shared" si="31"/>
        <v/>
      </c>
      <c r="C145" s="66"/>
      <c r="D145" s="66"/>
      <c r="E145" s="67" t="e">
        <f t="shared" si="30"/>
        <v>#VALUE!</v>
      </c>
      <c r="F145" s="68"/>
      <c r="G145" s="199">
        <f>HLOOKUP('Descripcion Actividades'!C11,Valimpacto!B84:G99,11)*(IF('Eval Factores de Riesgo'!$CY$83=1,0.8,IF('Eval Factores de Riesgo'!$CY92=2,0.9,IF('Eval Factores de Riesgo'!$CY$83=3,1,IF('Eval Factores de Riesgo'!$CY$83=4,1.1,1.2)))))</f>
        <v>0</v>
      </c>
      <c r="H145" s="205" t="str">
        <f>IF(B33&lt;&gt;"",'Eval Factores de Riesgo'!$CX$83,"")</f>
        <v/>
      </c>
      <c r="I145" s="200" t="str">
        <f>IF(B145&lt;&gt;"",IF(G145&lt;='cap.7 - analisis riesgos'!$J$15,'cap.7 - analisis riesgos'!$H$15,IF(G145&lt;='cap.7 - analisis riesgos'!$J$16,'cap.7 - analisis riesgos'!$H$16,IF(G145&lt;='cap.7 - analisis riesgos'!$J$17,'cap.7 - analisis riesgos'!$H$17,IF(G145&lt;='cap.7 - analisis riesgos'!$J$18,'cap.7 - analisis riesgos'!$H$18,'cap.7 - analisis riesgos'!$H$19)))),"")</f>
        <v/>
      </c>
      <c r="J145" s="201" t="str">
        <f t="shared" si="32"/>
        <v/>
      </c>
      <c r="K145" s="202" t="str">
        <f t="shared" si="33"/>
        <v/>
      </c>
      <c r="L145" s="203" t="e">
        <f t="shared" si="28"/>
        <v>#VALUE!</v>
      </c>
      <c r="M145" s="203"/>
      <c r="N145" s="11"/>
      <c r="O145" s="11"/>
      <c r="P145" s="11"/>
      <c r="Q145" s="11"/>
      <c r="R145" s="111"/>
      <c r="S145" s="111"/>
      <c r="T145" s="203"/>
      <c r="U145" s="203"/>
    </row>
    <row r="146" spans="1:21" s="204" customFormat="1" ht="45" customHeight="1" x14ac:dyDescent="0.25">
      <c r="A146" s="197"/>
      <c r="B146" s="198" t="str">
        <f t="shared" si="31"/>
        <v/>
      </c>
      <c r="C146" s="66"/>
      <c r="D146" s="66"/>
      <c r="E146" s="67" t="e">
        <f t="shared" si="30"/>
        <v>#VALUE!</v>
      </c>
      <c r="F146" s="68"/>
      <c r="G146" s="199">
        <f>HLOOKUP('Descripcion Actividades'!C11,Valimpacto!B84:G99,12)*(IF('Eval Factores de Riesgo'!$CY$83=1,0.8,IF('Eval Factores de Riesgo'!$CY93=2,0.9,IF('Eval Factores de Riesgo'!$CY$83=3,1,IF('Eval Factores de Riesgo'!$CY$83=4,1.1,1.2)))))</f>
        <v>0</v>
      </c>
      <c r="H146" s="205" t="str">
        <f>IF(B34&lt;&gt;"",'Eval Factores de Riesgo'!$CX$83,"")</f>
        <v/>
      </c>
      <c r="I146" s="200" t="str">
        <f>IF(B146&lt;&gt;"",IF(G146&lt;='cap.7 - analisis riesgos'!$J$15,'cap.7 - analisis riesgos'!$H$15,IF(G146&lt;='cap.7 - analisis riesgos'!$J$16,'cap.7 - analisis riesgos'!$H$16,IF(G146&lt;='cap.7 - analisis riesgos'!$J$17,'cap.7 - analisis riesgos'!$H$17,IF(G146&lt;='cap.7 - analisis riesgos'!$J$18,'cap.7 - analisis riesgos'!$H$18,'cap.7 - analisis riesgos'!$H$19)))),"")</f>
        <v/>
      </c>
      <c r="J146" s="201" t="str">
        <f t="shared" si="32"/>
        <v/>
      </c>
      <c r="K146" s="202" t="str">
        <f t="shared" si="33"/>
        <v/>
      </c>
      <c r="L146" s="203" t="e">
        <f t="shared" si="28"/>
        <v>#VALUE!</v>
      </c>
      <c r="M146" s="203"/>
      <c r="N146" s="11"/>
      <c r="O146" s="11"/>
      <c r="P146" s="11"/>
      <c r="Q146" s="11"/>
      <c r="R146" s="111"/>
      <c r="S146" s="111"/>
      <c r="T146" s="203"/>
      <c r="U146" s="203"/>
    </row>
    <row r="147" spans="1:21" x14ac:dyDescent="0.25">
      <c r="G147" s="76"/>
      <c r="H147" s="62"/>
      <c r="I147" s="62"/>
      <c r="J147" s="10" t="str">
        <f t="shared" si="32"/>
        <v/>
      </c>
      <c r="K147" s="107" t="str">
        <f t="shared" si="33"/>
        <v/>
      </c>
      <c r="L147" s="10"/>
      <c r="M147" s="10"/>
      <c r="N147" s="11"/>
      <c r="O147" s="11"/>
      <c r="P147" s="11"/>
      <c r="Q147" s="11"/>
      <c r="R147" s="111"/>
      <c r="S147" s="111"/>
      <c r="T147" s="10"/>
      <c r="U147" s="10"/>
    </row>
    <row r="148" spans="1:21" ht="15.75" x14ac:dyDescent="0.25">
      <c r="B148" s="218" t="s">
        <v>31</v>
      </c>
      <c r="F148" s="75" t="str">
        <f>F134</f>
        <v>Fase 1</v>
      </c>
      <c r="G148" s="219"/>
      <c r="H148" s="217"/>
      <c r="I148" s="217"/>
      <c r="J148" s="10" t="str">
        <f t="shared" si="32"/>
        <v/>
      </c>
      <c r="K148" s="107" t="str">
        <f t="shared" si="33"/>
        <v/>
      </c>
      <c r="L148" s="10"/>
      <c r="M148" s="10"/>
      <c r="N148" s="11"/>
      <c r="O148" s="11"/>
      <c r="P148" s="11"/>
      <c r="Q148" s="11"/>
      <c r="R148" s="111"/>
      <c r="S148" s="111"/>
      <c r="T148" s="10"/>
      <c r="U148" s="10"/>
    </row>
    <row r="149" spans="1:21" x14ac:dyDescent="0.25">
      <c r="B149" s="59"/>
      <c r="C149" s="59"/>
      <c r="D149" s="59"/>
      <c r="E149" s="59"/>
      <c r="F149" s="59"/>
      <c r="G149" s="219"/>
      <c r="H149" s="217"/>
      <c r="I149" s="217"/>
      <c r="J149" s="10" t="str">
        <f t="shared" si="32"/>
        <v/>
      </c>
      <c r="K149" s="107" t="str">
        <f t="shared" si="33"/>
        <v/>
      </c>
      <c r="L149" s="10"/>
      <c r="M149" s="10"/>
      <c r="N149" s="11"/>
      <c r="O149" s="11"/>
      <c r="P149" s="11"/>
      <c r="Q149" s="11"/>
      <c r="R149" s="111"/>
      <c r="S149" s="111"/>
      <c r="T149" s="10"/>
      <c r="U149" s="10"/>
    </row>
    <row r="150" spans="1:21" x14ac:dyDescent="0.25">
      <c r="A150" s="60"/>
      <c r="B150" s="9" t="s">
        <v>33</v>
      </c>
      <c r="C150" s="9" t="s">
        <v>34</v>
      </c>
      <c r="D150" s="9" t="s">
        <v>35</v>
      </c>
      <c r="E150" s="9" t="s">
        <v>36</v>
      </c>
      <c r="F150" s="9" t="s">
        <v>37</v>
      </c>
      <c r="G150" s="220"/>
      <c r="H150" s="213" t="s">
        <v>564</v>
      </c>
      <c r="I150" s="213" t="s">
        <v>565</v>
      </c>
      <c r="J150" s="10" t="str">
        <f t="shared" si="32"/>
        <v/>
      </c>
      <c r="K150" s="107" t="str">
        <f t="shared" si="33"/>
        <v/>
      </c>
      <c r="L150" s="10"/>
      <c r="M150" s="10"/>
      <c r="N150" s="11"/>
      <c r="O150" s="11"/>
      <c r="P150" s="11"/>
      <c r="Q150" s="11"/>
      <c r="R150" s="111"/>
      <c r="S150" s="111"/>
      <c r="T150" s="10"/>
      <c r="U150" s="10"/>
    </row>
    <row r="151" spans="1:21" s="204" customFormat="1" ht="45" customHeight="1" x14ac:dyDescent="0.25">
      <c r="A151" s="197"/>
      <c r="B151" s="198" t="str">
        <f>B137</f>
        <v>Costo personal</v>
      </c>
      <c r="C151" s="66" t="s">
        <v>6</v>
      </c>
      <c r="D151" s="66" t="s">
        <v>13</v>
      </c>
      <c r="E151" s="67" t="str">
        <f t="shared" ref="E151:E160" si="34">IF(OR(L151=5,L151=10),"Bajo",IF(OR(L151=15,L151=20,L151=30,L151=40,L151=45),"Moderado",IF(OR(L151=22,L151=25,L151=44,L151=50,L151=60,L151=66,L151=75,L151=88,L151=100),"Considerable",IF(OR(L151=27,L151=54,L151=81,L151=108,L151=135),"Significativo",""))))</f>
        <v>Moderado</v>
      </c>
      <c r="F151" s="68" t="s">
        <v>563</v>
      </c>
      <c r="G151" s="199">
        <f>HLOOKUP('Descripcion Actividades'!C11,Valimpacto!B84:G99,3)*(IF('Eval Factores de Riesgo'!$CY$91=1,0.8,IF('Eval Factores de Riesgo'!$CY91=2,0.9,IF('Eval Factores de Riesgo'!$CY$91=3,1,IF('Eval Factores de Riesgo'!$CY$91=4,1.1,1.2)))))</f>
        <v>81245039.047312006</v>
      </c>
      <c r="H151" s="205" t="str">
        <f>IF(B25&lt;&gt;"",'Eval Factores de Riesgo'!$CX$91,"")</f>
        <v>Poco Probable</v>
      </c>
      <c r="I151" s="200" t="str">
        <f>IF(B151&lt;&gt;"",IF(G151&lt;='cap.7 - analisis riesgos'!$J$15,'cap.7 - analisis riesgos'!$H$15,IF(G151&lt;='cap.7 - analisis riesgos'!$J$16,'cap.7 - analisis riesgos'!$H$16,IF(G151&lt;='cap.7 - analisis riesgos'!$J$17,'cap.7 - analisis riesgos'!$H$17,IF(G151&lt;='cap.7 - analisis riesgos'!$J$18,'cap.7 - analisis riesgos'!$H$18,'cap.7 - analisis riesgos'!$H$19)))),"")</f>
        <v>Moderado</v>
      </c>
      <c r="J151" s="201">
        <f t="shared" si="32"/>
        <v>3</v>
      </c>
      <c r="K151" s="202">
        <f t="shared" si="33"/>
        <v>10</v>
      </c>
      <c r="L151" s="203">
        <f t="shared" si="28"/>
        <v>30</v>
      </c>
      <c r="M151" s="203"/>
      <c r="N151" s="11"/>
      <c r="O151" s="11"/>
      <c r="P151" s="11"/>
      <c r="Q151" s="11"/>
      <c r="R151" s="111"/>
      <c r="S151" s="111"/>
      <c r="T151" s="203"/>
      <c r="U151" s="203"/>
    </row>
    <row r="152" spans="1:21" s="204" customFormat="1" ht="45" customHeight="1" x14ac:dyDescent="0.25">
      <c r="A152" s="197"/>
      <c r="B152" s="198" t="str">
        <f t="shared" ref="B152:B160" si="35">B138</f>
        <v>Costos indirectos</v>
      </c>
      <c r="C152" s="66" t="s">
        <v>6</v>
      </c>
      <c r="D152" s="66" t="s">
        <v>13</v>
      </c>
      <c r="E152" s="67" t="str">
        <f t="shared" si="34"/>
        <v>Moderado</v>
      </c>
      <c r="F152" s="68" t="s">
        <v>563</v>
      </c>
      <c r="G152" s="199">
        <f>HLOOKUP('Descripcion Actividades'!C11,Valimpacto!B84:G99,4)*(IF('Eval Factores de Riesgo'!$CY$91=1,0.8,IF('Eval Factores de Riesgo'!$CY92=2,0.9,IF('Eval Factores de Riesgo'!$CY$91=3,1,IF('Eval Factores de Riesgo'!$CY$91=4,1.1,1.2)))))</f>
        <v>37341010.200000003</v>
      </c>
      <c r="H152" s="205" t="str">
        <f>IF(B26&lt;&gt;"",'Eval Factores de Riesgo'!$CX$91,"")</f>
        <v>Poco Probable</v>
      </c>
      <c r="I152" s="200" t="str">
        <f>IF(B152&lt;&gt;"",IF(G152&lt;='cap.7 - analisis riesgos'!$J$15,'cap.7 - analisis riesgos'!$H$15,IF(G152&lt;='cap.7 - analisis riesgos'!$J$16,'cap.7 - analisis riesgos'!$H$16,IF(G152&lt;='cap.7 - analisis riesgos'!$J$17,'cap.7 - analisis riesgos'!$H$17,IF(G152&lt;='cap.7 - analisis riesgos'!$J$18,'cap.7 - analisis riesgos'!$H$18,'cap.7 - analisis riesgos'!$H$19)))),"")</f>
        <v>Menor</v>
      </c>
      <c r="J152" s="201">
        <f t="shared" si="32"/>
        <v>3</v>
      </c>
      <c r="K152" s="202">
        <f t="shared" si="33"/>
        <v>10</v>
      </c>
      <c r="L152" s="203">
        <f t="shared" si="28"/>
        <v>30</v>
      </c>
      <c r="M152" s="203"/>
      <c r="N152" s="11"/>
      <c r="O152" s="11"/>
      <c r="P152" s="11"/>
      <c r="Q152" s="11"/>
      <c r="R152" s="111"/>
      <c r="S152" s="111"/>
      <c r="T152" s="203"/>
      <c r="U152" s="203"/>
    </row>
    <row r="153" spans="1:21" s="204" customFormat="1" ht="45" customHeight="1" x14ac:dyDescent="0.25">
      <c r="A153" s="197"/>
      <c r="B153" s="198" t="str">
        <f t="shared" si="35"/>
        <v/>
      </c>
      <c r="C153" s="66"/>
      <c r="D153" s="66"/>
      <c r="E153" s="67" t="e">
        <f t="shared" si="34"/>
        <v>#VALUE!</v>
      </c>
      <c r="F153" s="68" t="s">
        <v>563</v>
      </c>
      <c r="G153" s="199">
        <f>HLOOKUP('Descripcion Actividades'!C11,Valimpacto!B84:G99,5)*(IF('Eval Factores de Riesgo'!$CY$91=1,0.8,IF('Eval Factores de Riesgo'!$CY93=2,0.9,IF('Eval Factores de Riesgo'!$CY$91=3,1,IF('Eval Factores de Riesgo'!$CY$91=4,1.1,1.2)))))</f>
        <v>0</v>
      </c>
      <c r="H153" s="205" t="str">
        <f>IF(B27&lt;&gt;"",'Eval Factores de Riesgo'!$CX$91,"")</f>
        <v/>
      </c>
      <c r="I153" s="200" t="str">
        <f>IF(B153&lt;&gt;"",IF(G153&lt;='cap.7 - analisis riesgos'!$J$15,'cap.7 - analisis riesgos'!$H$15,IF(G153&lt;='cap.7 - analisis riesgos'!$J$16,'cap.7 - analisis riesgos'!$H$16,IF(G153&lt;='cap.7 - analisis riesgos'!$J$17,'cap.7 - analisis riesgos'!$H$17,IF(G153&lt;='cap.7 - analisis riesgos'!$J$18,'cap.7 - analisis riesgos'!$H$18,'cap.7 - analisis riesgos'!$H$19)))),"")</f>
        <v/>
      </c>
      <c r="J153" s="201" t="str">
        <f t="shared" si="32"/>
        <v/>
      </c>
      <c r="K153" s="202" t="str">
        <f t="shared" si="33"/>
        <v/>
      </c>
      <c r="L153" s="203" t="e">
        <f t="shared" si="28"/>
        <v>#VALUE!</v>
      </c>
      <c r="M153" s="203"/>
      <c r="N153" s="11"/>
      <c r="O153" s="11"/>
      <c r="P153" s="11"/>
      <c r="Q153" s="11"/>
      <c r="R153" s="111"/>
      <c r="S153" s="111"/>
      <c r="T153" s="203"/>
      <c r="U153" s="203"/>
    </row>
    <row r="154" spans="1:21" s="204" customFormat="1" ht="45" customHeight="1" x14ac:dyDescent="0.25">
      <c r="A154" s="197"/>
      <c r="B154" s="198" t="str">
        <f t="shared" si="35"/>
        <v/>
      </c>
      <c r="C154" s="66"/>
      <c r="D154" s="66"/>
      <c r="E154" s="67" t="e">
        <f t="shared" si="34"/>
        <v>#VALUE!</v>
      </c>
      <c r="F154" s="68"/>
      <c r="G154" s="199">
        <f>HLOOKUP('Descripcion Actividades'!C11,Valimpacto!B84:G99,6)*(IF('Eval Factores de Riesgo'!$CY$91=1,0.8,IF('Eval Factores de Riesgo'!$CY94=2,0.9,IF('Eval Factores de Riesgo'!$CY$91=3,1,IF('Eval Factores de Riesgo'!$CY$91=4,1.1,1.2)))))</f>
        <v>0</v>
      </c>
      <c r="H154" s="205" t="str">
        <f>IF(B28&lt;&gt;"",'Eval Factores de Riesgo'!$CX$91,"")</f>
        <v/>
      </c>
      <c r="I154" s="200" t="str">
        <f>IF(B154&lt;&gt;"",IF(G154&lt;='cap.7 - analisis riesgos'!$J$15,'cap.7 - analisis riesgos'!$H$15,IF(G154&lt;='cap.7 - analisis riesgos'!$J$16,'cap.7 - analisis riesgos'!$H$16,IF(G154&lt;='cap.7 - analisis riesgos'!$J$17,'cap.7 - analisis riesgos'!$H$17,IF(G154&lt;='cap.7 - analisis riesgos'!$J$18,'cap.7 - analisis riesgos'!$H$18,'cap.7 - analisis riesgos'!$H$19)))),"")</f>
        <v/>
      </c>
      <c r="J154" s="201" t="str">
        <f t="shared" si="32"/>
        <v/>
      </c>
      <c r="K154" s="202" t="str">
        <f t="shared" si="33"/>
        <v/>
      </c>
      <c r="L154" s="203" t="e">
        <f t="shared" si="28"/>
        <v>#VALUE!</v>
      </c>
      <c r="M154" s="203"/>
      <c r="N154" s="11"/>
      <c r="O154" s="11"/>
      <c r="P154" s="11"/>
      <c r="Q154" s="11"/>
      <c r="R154" s="111"/>
      <c r="S154" s="111"/>
      <c r="T154" s="203"/>
      <c r="U154" s="203"/>
    </row>
    <row r="155" spans="1:21" s="204" customFormat="1" ht="45" customHeight="1" x14ac:dyDescent="0.25">
      <c r="A155" s="197"/>
      <c r="B155" s="198" t="str">
        <f t="shared" si="35"/>
        <v/>
      </c>
      <c r="C155" s="66"/>
      <c r="D155" s="66"/>
      <c r="E155" s="67" t="e">
        <f t="shared" si="34"/>
        <v>#VALUE!</v>
      </c>
      <c r="F155" s="68"/>
      <c r="G155" s="199">
        <f>HLOOKUP('Descripcion Actividades'!C11,Valimpacto!B84:G99,7)*(IF('Eval Factores de Riesgo'!$CY$91=1,0.8,IF('Eval Factores de Riesgo'!$CY95=2,0.9,IF('Eval Factores de Riesgo'!$CY$91=3,1,IF('Eval Factores de Riesgo'!$CY$91=4,1.1,1.2)))))</f>
        <v>0</v>
      </c>
      <c r="H155" s="205" t="str">
        <f>IF(B29&lt;&gt;"",'Eval Factores de Riesgo'!$CX$91,"")</f>
        <v/>
      </c>
      <c r="I155" s="200" t="str">
        <f>IF(B155&lt;&gt;"",IF(G155&lt;='cap.7 - analisis riesgos'!$J$15,'cap.7 - analisis riesgos'!$H$15,IF(G155&lt;='cap.7 - analisis riesgos'!$J$16,'cap.7 - analisis riesgos'!$H$16,IF(G155&lt;='cap.7 - analisis riesgos'!$J$17,'cap.7 - analisis riesgos'!$H$17,IF(G155&lt;='cap.7 - analisis riesgos'!$J$18,'cap.7 - analisis riesgos'!$H$18,'cap.7 - analisis riesgos'!$H$19)))),"")</f>
        <v/>
      </c>
      <c r="J155" s="201" t="str">
        <f t="shared" si="32"/>
        <v/>
      </c>
      <c r="K155" s="202" t="str">
        <f t="shared" si="33"/>
        <v/>
      </c>
      <c r="L155" s="203" t="e">
        <f t="shared" si="28"/>
        <v>#VALUE!</v>
      </c>
      <c r="M155" s="203"/>
      <c r="N155" s="11"/>
      <c r="O155" s="11"/>
      <c r="P155" s="11"/>
      <c r="Q155" s="11"/>
      <c r="R155" s="111"/>
      <c r="S155" s="111"/>
      <c r="T155" s="203"/>
      <c r="U155" s="203"/>
    </row>
    <row r="156" spans="1:21" s="204" customFormat="1" ht="45" customHeight="1" x14ac:dyDescent="0.25">
      <c r="A156" s="197"/>
      <c r="B156" s="198" t="str">
        <f t="shared" si="35"/>
        <v/>
      </c>
      <c r="C156" s="66"/>
      <c r="D156" s="66"/>
      <c r="E156" s="67" t="e">
        <f t="shared" si="34"/>
        <v>#VALUE!</v>
      </c>
      <c r="F156" s="68"/>
      <c r="G156" s="199">
        <f>HLOOKUP('Descripcion Actividades'!C11,Valimpacto!B84:G99,8)*(IF('Eval Factores de Riesgo'!$CY$91=1,0.8,IF('Eval Factores de Riesgo'!$CY96=2,0.9,IF('Eval Factores de Riesgo'!$CY$91=3,1,IF('Eval Factores de Riesgo'!$CY$91=4,1.1,1.2)))))</f>
        <v>0</v>
      </c>
      <c r="H156" s="205" t="str">
        <f>IF(B30&lt;&gt;"",'Eval Factores de Riesgo'!$CX$91,"")</f>
        <v/>
      </c>
      <c r="I156" s="200" t="str">
        <f>IF(B156&lt;&gt;"",IF(G156&lt;='cap.7 - analisis riesgos'!$J$15,'cap.7 - analisis riesgos'!$H$15,IF(G156&lt;='cap.7 - analisis riesgos'!$J$16,'cap.7 - analisis riesgos'!$H$16,IF(G156&lt;='cap.7 - analisis riesgos'!$J$17,'cap.7 - analisis riesgos'!$H$17,IF(G156&lt;='cap.7 - analisis riesgos'!$J$18,'cap.7 - analisis riesgos'!$H$18,'cap.7 - analisis riesgos'!$H$19)))),"")</f>
        <v/>
      </c>
      <c r="J156" s="201" t="str">
        <f t="shared" si="32"/>
        <v/>
      </c>
      <c r="K156" s="202" t="str">
        <f t="shared" si="33"/>
        <v/>
      </c>
      <c r="L156" s="203" t="e">
        <f t="shared" si="28"/>
        <v>#VALUE!</v>
      </c>
      <c r="M156" s="203"/>
      <c r="N156" s="11"/>
      <c r="O156" s="11"/>
      <c r="P156" s="11"/>
      <c r="Q156" s="11"/>
      <c r="R156" s="111"/>
      <c r="S156" s="111"/>
      <c r="T156" s="203"/>
      <c r="U156" s="203"/>
    </row>
    <row r="157" spans="1:21" s="204" customFormat="1" ht="45" customHeight="1" x14ac:dyDescent="0.25">
      <c r="A157" s="197"/>
      <c r="B157" s="198" t="str">
        <f t="shared" si="35"/>
        <v/>
      </c>
      <c r="C157" s="66"/>
      <c r="D157" s="66"/>
      <c r="E157" s="67" t="e">
        <f t="shared" si="34"/>
        <v>#VALUE!</v>
      </c>
      <c r="F157" s="68"/>
      <c r="G157" s="199">
        <f>HLOOKUP('Descripcion Actividades'!C11,Valimpacto!B84:G99,9)*(IF('Eval Factores de Riesgo'!$CY$91=1,0.8,IF('Eval Factores de Riesgo'!$CY97=2,0.9,IF('Eval Factores de Riesgo'!$CY$91=3,1,IF('Eval Factores de Riesgo'!$CY$91=4,1.1,1.2)))))</f>
        <v>0</v>
      </c>
      <c r="H157" s="205" t="str">
        <f>IF(B31&lt;&gt;"",'Eval Factores de Riesgo'!$CX$91,"")</f>
        <v/>
      </c>
      <c r="I157" s="200" t="str">
        <f>IF(B157&lt;&gt;"",IF(G157&lt;='cap.7 - analisis riesgos'!$J$15,'cap.7 - analisis riesgos'!$H$15,IF(G157&lt;='cap.7 - analisis riesgos'!$J$16,'cap.7 - analisis riesgos'!$H$16,IF(G157&lt;='cap.7 - analisis riesgos'!$J$17,'cap.7 - analisis riesgos'!$H$17,IF(G157&lt;='cap.7 - analisis riesgos'!$J$18,'cap.7 - analisis riesgos'!$H$18,'cap.7 - analisis riesgos'!$H$19)))),"")</f>
        <v/>
      </c>
      <c r="J157" s="201" t="str">
        <f t="shared" si="32"/>
        <v/>
      </c>
      <c r="K157" s="202" t="str">
        <f t="shared" si="33"/>
        <v/>
      </c>
      <c r="L157" s="203" t="e">
        <f t="shared" si="28"/>
        <v>#VALUE!</v>
      </c>
      <c r="M157" s="203"/>
      <c r="N157" s="11"/>
      <c r="O157" s="11"/>
      <c r="P157" s="11"/>
      <c r="Q157" s="11"/>
      <c r="R157" s="111"/>
      <c r="S157" s="111"/>
      <c r="T157" s="203"/>
      <c r="U157" s="203"/>
    </row>
    <row r="158" spans="1:21" s="204" customFormat="1" ht="45" customHeight="1" x14ac:dyDescent="0.25">
      <c r="A158" s="197"/>
      <c r="B158" s="198" t="str">
        <f t="shared" si="35"/>
        <v/>
      </c>
      <c r="C158" s="66"/>
      <c r="D158" s="66"/>
      <c r="E158" s="67" t="e">
        <f t="shared" si="34"/>
        <v>#VALUE!</v>
      </c>
      <c r="F158" s="68"/>
      <c r="G158" s="199">
        <f>HLOOKUP('Descripcion Actividades'!C11,Valimpacto!B84:G99,10)*(IF('Eval Factores de Riesgo'!$CY$91=1,0.8,IF('Eval Factores de Riesgo'!$CY98=2,0.9,IF('Eval Factores de Riesgo'!$CY$91=3,1,IF('Eval Factores de Riesgo'!$CY$91=4,1.1,1.2)))))</f>
        <v>0</v>
      </c>
      <c r="H158" s="205" t="str">
        <f>IF(B32&lt;&gt;"",'Eval Factores de Riesgo'!$CX$91,"")</f>
        <v/>
      </c>
      <c r="I158" s="200" t="str">
        <f>IF(B158&lt;&gt;"",IF(G158&lt;='cap.7 - analisis riesgos'!$J$15,'cap.7 - analisis riesgos'!$H$15,IF(G158&lt;='cap.7 - analisis riesgos'!$J$16,'cap.7 - analisis riesgos'!$H$16,IF(G158&lt;='cap.7 - analisis riesgos'!$J$17,'cap.7 - analisis riesgos'!$H$17,IF(G158&lt;='cap.7 - analisis riesgos'!$J$18,'cap.7 - analisis riesgos'!$H$18,'cap.7 - analisis riesgos'!$H$19)))),"")</f>
        <v/>
      </c>
      <c r="J158" s="201" t="str">
        <f t="shared" si="32"/>
        <v/>
      </c>
      <c r="K158" s="202" t="str">
        <f t="shared" si="33"/>
        <v/>
      </c>
      <c r="L158" s="203" t="e">
        <f t="shared" si="28"/>
        <v>#VALUE!</v>
      </c>
      <c r="M158" s="203"/>
      <c r="N158" s="11"/>
      <c r="O158" s="11"/>
      <c r="P158" s="11"/>
      <c r="Q158" s="11"/>
      <c r="R158" s="111"/>
      <c r="S158" s="111"/>
      <c r="T158" s="203"/>
      <c r="U158" s="203"/>
    </row>
    <row r="159" spans="1:21" s="204" customFormat="1" ht="45" customHeight="1" x14ac:dyDescent="0.25">
      <c r="A159" s="197"/>
      <c r="B159" s="198" t="str">
        <f t="shared" si="35"/>
        <v/>
      </c>
      <c r="C159" s="66"/>
      <c r="D159" s="66"/>
      <c r="E159" s="67" t="e">
        <f t="shared" si="34"/>
        <v>#VALUE!</v>
      </c>
      <c r="F159" s="68"/>
      <c r="G159" s="199">
        <f>HLOOKUP('Descripcion Actividades'!C11,Valimpacto!B84:G99,11)*(IF('Eval Factores de Riesgo'!$CY$91=1,0.8,IF('Eval Factores de Riesgo'!$CY99=2,0.9,IF('Eval Factores de Riesgo'!$CY$91=3,1,IF('Eval Factores de Riesgo'!$CY$91=4,1.1,1.2)))))</f>
        <v>0</v>
      </c>
      <c r="H159" s="205" t="str">
        <f>IF(B33&lt;&gt;"",'Eval Factores de Riesgo'!$CX$91,"")</f>
        <v/>
      </c>
      <c r="I159" s="200" t="str">
        <f>IF(B159&lt;&gt;"",IF(G159&lt;='cap.7 - analisis riesgos'!$J$15,'cap.7 - analisis riesgos'!$H$15,IF(G159&lt;='cap.7 - analisis riesgos'!$J$16,'cap.7 - analisis riesgos'!$H$16,IF(G159&lt;='cap.7 - analisis riesgos'!$J$17,'cap.7 - analisis riesgos'!$H$17,IF(G159&lt;='cap.7 - analisis riesgos'!$J$18,'cap.7 - analisis riesgos'!$H$18,'cap.7 - analisis riesgos'!$H$19)))),"")</f>
        <v/>
      </c>
      <c r="J159" s="201" t="str">
        <f t="shared" si="32"/>
        <v/>
      </c>
      <c r="K159" s="202" t="str">
        <f t="shared" si="33"/>
        <v/>
      </c>
      <c r="L159" s="203" t="e">
        <f t="shared" si="28"/>
        <v>#VALUE!</v>
      </c>
      <c r="M159" s="203"/>
      <c r="N159" s="11"/>
      <c r="O159" s="11"/>
      <c r="P159" s="11"/>
      <c r="Q159" s="11"/>
      <c r="R159" s="111"/>
      <c r="S159" s="111"/>
      <c r="T159" s="203"/>
      <c r="U159" s="203"/>
    </row>
    <row r="160" spans="1:21" s="204" customFormat="1" ht="45" customHeight="1" x14ac:dyDescent="0.25">
      <c r="A160" s="197"/>
      <c r="B160" s="198" t="str">
        <f t="shared" si="35"/>
        <v/>
      </c>
      <c r="C160" s="66"/>
      <c r="D160" s="66"/>
      <c r="E160" s="67" t="e">
        <f t="shared" si="34"/>
        <v>#VALUE!</v>
      </c>
      <c r="F160" s="68"/>
      <c r="G160" s="199">
        <f>HLOOKUP('Descripcion Actividades'!C11,Valimpacto!B84:G99,12)*(IF('Eval Factores de Riesgo'!$CY$91=1,0.8,IF('Eval Factores de Riesgo'!$CY100=2,0.9,IF('Eval Factores de Riesgo'!$CY$91=3,1,IF('Eval Factores de Riesgo'!$CY$91=4,1.1,1.2)))))</f>
        <v>0</v>
      </c>
      <c r="H160" s="205" t="str">
        <f>IF(B34&lt;&gt;"",'Eval Factores de Riesgo'!$CX$91,"")</f>
        <v/>
      </c>
      <c r="I160" s="200" t="str">
        <f>IF(B160&lt;&gt;"",IF(G160&lt;='cap.7 - analisis riesgos'!$J$15,'cap.7 - analisis riesgos'!$H$15,IF(G160&lt;='cap.7 - analisis riesgos'!$J$16,'cap.7 - analisis riesgos'!$H$16,IF(G160&lt;='cap.7 - analisis riesgos'!$J$17,'cap.7 - analisis riesgos'!$H$17,IF(G160&lt;='cap.7 - analisis riesgos'!$J$18,'cap.7 - analisis riesgos'!$H$18,'cap.7 - analisis riesgos'!$H$19)))),"")</f>
        <v/>
      </c>
      <c r="J160" s="201" t="str">
        <f t="shared" si="32"/>
        <v/>
      </c>
      <c r="K160" s="202" t="str">
        <f t="shared" si="33"/>
        <v/>
      </c>
      <c r="L160" s="203" t="e">
        <f t="shared" si="28"/>
        <v>#VALUE!</v>
      </c>
      <c r="M160" s="203"/>
      <c r="N160" s="11"/>
      <c r="O160" s="11"/>
      <c r="P160" s="11"/>
      <c r="Q160" s="11"/>
      <c r="R160" s="111"/>
      <c r="S160" s="111"/>
      <c r="T160" s="203"/>
      <c r="U160" s="203"/>
    </row>
    <row r="161" spans="1:21" x14ac:dyDescent="0.25">
      <c r="B161" s="64"/>
      <c r="C161" s="64"/>
      <c r="D161" s="64"/>
      <c r="F161" s="64"/>
      <c r="G161" s="76"/>
      <c r="H161" s="62"/>
      <c r="I161" s="62"/>
      <c r="J161" s="10" t="str">
        <f t="shared" si="32"/>
        <v/>
      </c>
      <c r="K161" s="107" t="str">
        <f t="shared" si="33"/>
        <v/>
      </c>
      <c r="L161" s="10"/>
      <c r="M161" s="10"/>
      <c r="N161" s="11"/>
      <c r="O161" s="11"/>
      <c r="P161" s="11"/>
      <c r="Q161" s="11"/>
      <c r="R161" s="111"/>
      <c r="S161" s="111"/>
      <c r="T161" s="10"/>
      <c r="U161" s="10"/>
    </row>
    <row r="162" spans="1:21" ht="15.75" x14ac:dyDescent="0.25">
      <c r="B162" s="14" t="s">
        <v>32</v>
      </c>
      <c r="C162" s="64"/>
      <c r="D162" s="64"/>
      <c r="F162" s="75" t="str">
        <f>F148</f>
        <v>Fase 1</v>
      </c>
      <c r="G162" s="76"/>
      <c r="J162" s="10"/>
      <c r="K162" s="107" t="str">
        <f t="shared" si="33"/>
        <v/>
      </c>
      <c r="L162" s="10"/>
      <c r="M162" s="10"/>
      <c r="N162" s="11"/>
      <c r="O162" s="11"/>
      <c r="P162" s="11"/>
      <c r="Q162" s="11"/>
      <c r="R162" s="111"/>
      <c r="S162" s="111"/>
      <c r="T162" s="10"/>
      <c r="U162" s="10"/>
    </row>
    <row r="163" spans="1:21" x14ac:dyDescent="0.25">
      <c r="B163" s="65"/>
      <c r="C163" s="65"/>
      <c r="D163" s="65"/>
      <c r="E163" s="59"/>
      <c r="F163" s="65"/>
      <c r="G163" s="77"/>
      <c r="H163" s="1"/>
      <c r="I163" s="1"/>
      <c r="J163" s="10" t="str">
        <f t="shared" ref="J163:J174" si="36">IF(C163="Raro",1,IF(C163="Poco Probable",2,IF(C163="Posible",3,IF(C163="Probable",4,IF(C163="Casi cierta",5,"")))))</f>
        <v/>
      </c>
      <c r="K163" s="107" t="str">
        <f t="shared" si="33"/>
        <v/>
      </c>
      <c r="L163" s="10"/>
      <c r="M163" s="10"/>
      <c r="N163" s="11"/>
      <c r="O163" s="11"/>
      <c r="P163" s="11"/>
      <c r="Q163" s="11"/>
      <c r="R163" s="111"/>
      <c r="S163" s="111"/>
      <c r="T163" s="10"/>
      <c r="U163" s="10"/>
    </row>
    <row r="164" spans="1:21" x14ac:dyDescent="0.25">
      <c r="A164" s="60"/>
      <c r="B164" s="15" t="s">
        <v>36</v>
      </c>
      <c r="C164" s="15" t="s">
        <v>34</v>
      </c>
      <c r="D164" s="15" t="s">
        <v>35</v>
      </c>
      <c r="E164" s="9" t="s">
        <v>36</v>
      </c>
      <c r="F164" s="15" t="s">
        <v>37</v>
      </c>
      <c r="G164" s="70" t="s">
        <v>670</v>
      </c>
      <c r="H164" s="1"/>
      <c r="I164" s="1"/>
      <c r="J164" s="10" t="str">
        <f t="shared" si="36"/>
        <v/>
      </c>
      <c r="K164" s="107" t="str">
        <f t="shared" si="33"/>
        <v/>
      </c>
      <c r="L164" s="10"/>
      <c r="M164" s="10"/>
      <c r="N164" s="11"/>
      <c r="O164" s="11"/>
      <c r="P164" s="11"/>
      <c r="Q164" s="11"/>
      <c r="R164" s="111"/>
      <c r="S164" s="111"/>
      <c r="T164" s="10"/>
      <c r="U164" s="10"/>
    </row>
    <row r="165" spans="1:21" s="204" customFormat="1" ht="45" customHeight="1" x14ac:dyDescent="0.25">
      <c r="A165" s="197"/>
      <c r="B165" s="207" t="s">
        <v>660</v>
      </c>
      <c r="C165" s="66" t="s">
        <v>6</v>
      </c>
      <c r="D165" s="66" t="s">
        <v>14</v>
      </c>
      <c r="E165" s="67" t="str">
        <f t="shared" ref="E165:E173" si="37">IF(OR(L165=5,L165=10),"Bajo",IF(OR(L165=15,L165=20,L165=30,L165=40,L165=45),"Moderado",IF(OR(L165=22,L165=25,L165=44,L165=50,L165=60,L165=66,L165=75,L165=88,L165=100),"Considerable",IF(OR(L165=27,L165=54,L165=81,L165=108,L165=135),"Significativo",""))))</f>
        <v>Moderado</v>
      </c>
      <c r="F165" s="68" t="s">
        <v>563</v>
      </c>
      <c r="G165" s="128" t="s">
        <v>666</v>
      </c>
      <c r="H165" s="208"/>
      <c r="I165" s="209"/>
      <c r="J165" s="201">
        <f t="shared" si="36"/>
        <v>3</v>
      </c>
      <c r="K165" s="202">
        <f t="shared" si="33"/>
        <v>15</v>
      </c>
      <c r="L165" s="203">
        <f t="shared" si="28"/>
        <v>45</v>
      </c>
      <c r="M165" s="203"/>
      <c r="N165" s="11"/>
      <c r="O165" s="11"/>
      <c r="P165" s="11"/>
      <c r="Q165" s="11"/>
      <c r="R165" s="111"/>
      <c r="S165" s="111"/>
      <c r="T165" s="203"/>
      <c r="U165" s="203"/>
    </row>
    <row r="166" spans="1:21" s="204" customFormat="1" ht="45" customHeight="1" x14ac:dyDescent="0.25">
      <c r="A166" s="197"/>
      <c r="B166" s="207" t="s">
        <v>659</v>
      </c>
      <c r="C166" s="66" t="s">
        <v>5</v>
      </c>
      <c r="D166" s="66" t="s">
        <v>15</v>
      </c>
      <c r="E166" s="67" t="str">
        <f t="shared" si="37"/>
        <v>Considerable</v>
      </c>
      <c r="F166" s="68" t="s">
        <v>563</v>
      </c>
      <c r="G166" s="128" t="s">
        <v>666</v>
      </c>
      <c r="H166" s="208"/>
      <c r="I166" s="209"/>
      <c r="J166" s="201">
        <f t="shared" si="36"/>
        <v>2</v>
      </c>
      <c r="K166" s="202">
        <f t="shared" si="33"/>
        <v>22</v>
      </c>
      <c r="L166" s="203">
        <f t="shared" si="28"/>
        <v>44</v>
      </c>
      <c r="M166" s="203"/>
      <c r="N166" s="11"/>
      <c r="O166" s="11"/>
      <c r="P166" s="11"/>
      <c r="Q166" s="11"/>
      <c r="R166" s="111"/>
      <c r="S166" s="111"/>
      <c r="T166" s="203"/>
      <c r="U166" s="203"/>
    </row>
    <row r="167" spans="1:21" s="204" customFormat="1" ht="87" customHeight="1" x14ac:dyDescent="0.25">
      <c r="A167" s="197"/>
      <c r="B167" s="207" t="s">
        <v>672</v>
      </c>
      <c r="C167" s="66" t="s">
        <v>6</v>
      </c>
      <c r="D167" s="66" t="s">
        <v>14</v>
      </c>
      <c r="E167" s="67" t="str">
        <f t="shared" si="37"/>
        <v>Moderado</v>
      </c>
      <c r="F167" s="68" t="s">
        <v>563</v>
      </c>
      <c r="G167" s="128" t="s">
        <v>668</v>
      </c>
      <c r="H167" s="208"/>
      <c r="I167" s="209"/>
      <c r="J167" s="201">
        <f t="shared" si="36"/>
        <v>3</v>
      </c>
      <c r="K167" s="202">
        <f t="shared" si="33"/>
        <v>15</v>
      </c>
      <c r="L167" s="203">
        <f t="shared" si="28"/>
        <v>45</v>
      </c>
      <c r="M167" s="203"/>
      <c r="N167" s="11"/>
      <c r="O167" s="11"/>
      <c r="P167" s="11"/>
      <c r="Q167" s="11"/>
      <c r="R167" s="111"/>
      <c r="S167" s="111"/>
      <c r="T167" s="203"/>
      <c r="U167" s="203"/>
    </row>
    <row r="168" spans="1:21" s="204" customFormat="1" ht="87" customHeight="1" x14ac:dyDescent="0.25">
      <c r="A168" s="197"/>
      <c r="B168" s="207" t="s">
        <v>686</v>
      </c>
      <c r="C168" s="66" t="s">
        <v>5</v>
      </c>
      <c r="D168" s="66" t="s">
        <v>15</v>
      </c>
      <c r="E168" s="67" t="str">
        <f t="shared" si="37"/>
        <v>Considerable</v>
      </c>
      <c r="F168" s="68" t="s">
        <v>563</v>
      </c>
      <c r="G168" s="128" t="s">
        <v>668</v>
      </c>
      <c r="H168" s="208"/>
      <c r="I168" s="209"/>
      <c r="J168" s="201">
        <f t="shared" si="36"/>
        <v>2</v>
      </c>
      <c r="K168" s="202">
        <f t="shared" si="33"/>
        <v>22</v>
      </c>
      <c r="L168" s="203">
        <f t="shared" si="28"/>
        <v>44</v>
      </c>
      <c r="M168" s="203"/>
      <c r="N168" s="11"/>
      <c r="O168" s="11"/>
      <c r="P168" s="11"/>
      <c r="Q168" s="11"/>
      <c r="R168" s="111"/>
      <c r="S168" s="111"/>
      <c r="T168" s="203"/>
      <c r="U168" s="203"/>
    </row>
    <row r="169" spans="1:21" s="204" customFormat="1" ht="87" customHeight="1" x14ac:dyDescent="0.25">
      <c r="A169" s="197"/>
      <c r="B169" s="207" t="s">
        <v>660</v>
      </c>
      <c r="C169" s="66" t="s">
        <v>5</v>
      </c>
      <c r="D169" s="66" t="s">
        <v>16</v>
      </c>
      <c r="E169" s="67" t="str">
        <f t="shared" si="37"/>
        <v>Significativo</v>
      </c>
      <c r="F169" s="68" t="s">
        <v>563</v>
      </c>
      <c r="G169" s="128" t="s">
        <v>837</v>
      </c>
      <c r="H169" s="208"/>
      <c r="I169" s="209"/>
      <c r="J169" s="201">
        <f t="shared" si="36"/>
        <v>2</v>
      </c>
      <c r="K169" s="202">
        <f t="shared" si="33"/>
        <v>27</v>
      </c>
      <c r="L169" s="203">
        <f t="shared" si="28"/>
        <v>54</v>
      </c>
      <c r="M169" s="203"/>
      <c r="N169" s="11"/>
      <c r="O169" s="11"/>
      <c r="P169" s="11"/>
      <c r="Q169" s="11"/>
      <c r="R169" s="111"/>
      <c r="S169" s="111"/>
      <c r="T169" s="203"/>
      <c r="U169" s="203"/>
    </row>
    <row r="170" spans="1:21" s="204" customFormat="1" ht="87" customHeight="1" x14ac:dyDescent="0.25">
      <c r="A170" s="197"/>
      <c r="B170" s="207" t="s">
        <v>663</v>
      </c>
      <c r="C170" s="66" t="s">
        <v>5</v>
      </c>
      <c r="D170" s="66" t="s">
        <v>15</v>
      </c>
      <c r="E170" s="67" t="str">
        <f t="shared" si="37"/>
        <v>Considerable</v>
      </c>
      <c r="F170" s="68" t="s">
        <v>563</v>
      </c>
      <c r="G170" s="128" t="s">
        <v>675</v>
      </c>
      <c r="H170" s="208"/>
      <c r="I170" s="209"/>
      <c r="J170" s="201">
        <f t="shared" si="36"/>
        <v>2</v>
      </c>
      <c r="K170" s="202">
        <f t="shared" si="33"/>
        <v>22</v>
      </c>
      <c r="L170" s="203">
        <f t="shared" si="28"/>
        <v>44</v>
      </c>
      <c r="M170" s="203"/>
      <c r="N170" s="11"/>
      <c r="O170" s="11"/>
      <c r="P170" s="11"/>
      <c r="Q170" s="11"/>
      <c r="R170" s="111"/>
      <c r="S170" s="111"/>
      <c r="T170" s="203"/>
      <c r="U170" s="203"/>
    </row>
    <row r="171" spans="1:21" s="204" customFormat="1" ht="87" customHeight="1" x14ac:dyDescent="0.25">
      <c r="A171" s="197"/>
      <c r="B171" s="207" t="s">
        <v>671</v>
      </c>
      <c r="C171" s="66" t="s">
        <v>6</v>
      </c>
      <c r="D171" s="66" t="s">
        <v>14</v>
      </c>
      <c r="E171" s="67" t="str">
        <f t="shared" si="37"/>
        <v>Moderado</v>
      </c>
      <c r="F171" s="68" t="s">
        <v>563</v>
      </c>
      <c r="G171" s="128" t="s">
        <v>674</v>
      </c>
      <c r="H171" s="208"/>
      <c r="I171" s="209"/>
      <c r="J171" s="201">
        <f t="shared" si="36"/>
        <v>3</v>
      </c>
      <c r="K171" s="202">
        <f t="shared" si="33"/>
        <v>15</v>
      </c>
      <c r="L171" s="203">
        <f t="shared" si="28"/>
        <v>45</v>
      </c>
      <c r="M171" s="203"/>
      <c r="N171" s="11"/>
      <c r="O171" s="11"/>
      <c r="P171" s="11"/>
      <c r="Q171" s="11"/>
      <c r="R171" s="111"/>
      <c r="S171" s="111"/>
      <c r="T171" s="203"/>
      <c r="U171" s="203"/>
    </row>
    <row r="172" spans="1:21" s="204" customFormat="1" ht="87" customHeight="1" x14ac:dyDescent="0.25">
      <c r="A172" s="197"/>
      <c r="B172" s="207" t="s">
        <v>694</v>
      </c>
      <c r="C172" s="66" t="s">
        <v>6</v>
      </c>
      <c r="D172" s="66" t="s">
        <v>14</v>
      </c>
      <c r="E172" s="67" t="str">
        <f t="shared" si="37"/>
        <v>Moderado</v>
      </c>
      <c r="F172" s="68" t="s">
        <v>563</v>
      </c>
      <c r="G172" s="128" t="s">
        <v>674</v>
      </c>
      <c r="H172" s="208"/>
      <c r="I172" s="209"/>
      <c r="J172" s="201">
        <f t="shared" si="36"/>
        <v>3</v>
      </c>
      <c r="K172" s="202">
        <f t="shared" si="33"/>
        <v>15</v>
      </c>
      <c r="L172" s="203">
        <f t="shared" si="28"/>
        <v>45</v>
      </c>
      <c r="M172" s="203"/>
      <c r="N172" s="11"/>
      <c r="O172" s="11"/>
      <c r="P172" s="11"/>
      <c r="Q172" s="11"/>
      <c r="R172" s="111"/>
      <c r="S172" s="111"/>
      <c r="T172" s="203"/>
      <c r="U172" s="203"/>
    </row>
    <row r="173" spans="1:21" s="204" customFormat="1" ht="87" customHeight="1" x14ac:dyDescent="0.25">
      <c r="A173" s="197"/>
      <c r="B173" s="207" t="s">
        <v>856</v>
      </c>
      <c r="C173" s="66" t="s">
        <v>6</v>
      </c>
      <c r="D173" s="66" t="s">
        <v>14</v>
      </c>
      <c r="E173" s="67" t="str">
        <f t="shared" si="37"/>
        <v>Moderado</v>
      </c>
      <c r="F173" s="68" t="s">
        <v>563</v>
      </c>
      <c r="G173" s="128" t="s">
        <v>674</v>
      </c>
      <c r="H173" s="208"/>
      <c r="I173" s="209"/>
      <c r="J173" s="201">
        <f t="shared" si="36"/>
        <v>3</v>
      </c>
      <c r="K173" s="202">
        <f t="shared" si="33"/>
        <v>15</v>
      </c>
      <c r="L173" s="203">
        <f t="shared" si="28"/>
        <v>45</v>
      </c>
      <c r="M173" s="203"/>
      <c r="N173" s="11"/>
      <c r="O173" s="11"/>
      <c r="P173" s="11"/>
      <c r="Q173" s="11"/>
      <c r="R173" s="111"/>
      <c r="S173" s="111"/>
      <c r="T173" s="203"/>
      <c r="U173" s="203"/>
    </row>
    <row r="174" spans="1:21" s="204" customFormat="1" ht="87" customHeight="1" x14ac:dyDescent="0.25">
      <c r="A174" s="197"/>
      <c r="B174" s="207" t="s">
        <v>857</v>
      </c>
      <c r="C174" s="66" t="s">
        <v>5</v>
      </c>
      <c r="D174" s="66" t="s">
        <v>14</v>
      </c>
      <c r="E174" s="67" t="str">
        <f>IF(OR(L174=5,L174=10),"Bajo",IF(OR(L174=15,L174=20,L174=30,L174=40,L174=45),"Moderado",IF(OR(L174=22,L174=25,L174=44,L174=50,L174=60,L174=66,L174=75,L174=88,L174=100),"Considerable",IF(OR(L174=27,L174=54,L174=81,L174=108,L174=135),"Significativo",""))))</f>
        <v>Moderado</v>
      </c>
      <c r="F174" s="68" t="s">
        <v>563</v>
      </c>
      <c r="G174" s="128" t="s">
        <v>674</v>
      </c>
      <c r="H174" s="208"/>
      <c r="I174" s="209"/>
      <c r="J174" s="201">
        <f t="shared" si="36"/>
        <v>2</v>
      </c>
      <c r="K174" s="202">
        <f t="shared" si="33"/>
        <v>15</v>
      </c>
      <c r="L174" s="203">
        <f t="shared" si="28"/>
        <v>30</v>
      </c>
      <c r="M174" s="203"/>
      <c r="N174" s="11"/>
      <c r="O174" s="11"/>
      <c r="P174" s="11"/>
      <c r="Q174" s="11"/>
      <c r="R174" s="111"/>
      <c r="S174" s="111"/>
      <c r="T174" s="203"/>
      <c r="U174" s="203"/>
    </row>
    <row r="175" spans="1:21" s="204" customFormat="1" ht="87" customHeight="1" x14ac:dyDescent="0.25">
      <c r="B175" s="207" t="s">
        <v>858</v>
      </c>
      <c r="C175" s="66" t="s">
        <v>5</v>
      </c>
      <c r="D175" s="66" t="s">
        <v>14</v>
      </c>
      <c r="E175" s="67" t="str">
        <f t="shared" ref="E175:E178" si="38">IF(OR(L175=5,L175=10),"Bajo",IF(OR(L175=15,L175=20,L175=30,L175=40,L175=45),"Moderado",IF(OR(L175=22,L175=25,L175=44,L175=50,L175=60,L175=66,L175=75,L175=88,L175=100),"Considerable",IF(OR(L175=27,L175=54,L175=81,L175=108,L175=135),"Significativo",""))))</f>
        <v>Moderado</v>
      </c>
      <c r="F175" s="68" t="s">
        <v>563</v>
      </c>
      <c r="G175" s="128" t="s">
        <v>674</v>
      </c>
      <c r="H175" s="208"/>
      <c r="I175" s="209"/>
      <c r="J175" s="201">
        <f t="shared" ref="J175:J178" si="39">IF(C175="Raro",1,IF(C175="Poco Probable",2,IF(C175="Posible",3,IF(C175="Probable",4,IF(C175="Casi cierta",5,"")))))</f>
        <v>2</v>
      </c>
      <c r="K175" s="202">
        <f t="shared" ref="K175:K178" si="40">IF(D175="Mínimo",5,IF(D175="Menor",10,IF(D175="Moderado",15,IF(D175="Mayor",22,IF(D175="Catastrófico",27,"")))))</f>
        <v>15</v>
      </c>
      <c r="L175" s="203">
        <f t="shared" ref="L175:L178" si="41">+J175*K175</f>
        <v>30</v>
      </c>
      <c r="M175" s="11"/>
      <c r="N175" s="11"/>
      <c r="O175" s="11"/>
      <c r="P175" s="11"/>
      <c r="Q175" s="11"/>
      <c r="R175" s="202"/>
      <c r="S175" s="202"/>
    </row>
    <row r="176" spans="1:21" s="204" customFormat="1" ht="87" customHeight="1" x14ac:dyDescent="0.25">
      <c r="B176" s="207"/>
      <c r="C176" s="66"/>
      <c r="D176" s="66"/>
      <c r="E176" s="67" t="e">
        <f t="shared" si="38"/>
        <v>#VALUE!</v>
      </c>
      <c r="F176" s="68"/>
      <c r="G176" s="128"/>
      <c r="H176" s="208"/>
      <c r="I176" s="209"/>
      <c r="J176" s="201" t="str">
        <f t="shared" si="39"/>
        <v/>
      </c>
      <c r="K176" s="202" t="str">
        <f t="shared" si="40"/>
        <v/>
      </c>
      <c r="L176" s="203" t="e">
        <f t="shared" si="41"/>
        <v>#VALUE!</v>
      </c>
      <c r="M176" s="112"/>
      <c r="N176" s="112"/>
      <c r="O176" s="112"/>
      <c r="P176" s="112"/>
      <c r="Q176" s="112"/>
      <c r="R176" s="210"/>
      <c r="S176" s="210"/>
    </row>
    <row r="177" spans="2:19" s="204" customFormat="1" ht="87" customHeight="1" x14ac:dyDescent="0.25">
      <c r="B177" s="207"/>
      <c r="C177" s="66"/>
      <c r="D177" s="66"/>
      <c r="E177" s="67" t="e">
        <f t="shared" si="38"/>
        <v>#VALUE!</v>
      </c>
      <c r="F177" s="68"/>
      <c r="G177" s="128"/>
      <c r="H177" s="211"/>
      <c r="J177" s="201" t="str">
        <f t="shared" si="39"/>
        <v/>
      </c>
      <c r="K177" s="202" t="str">
        <f t="shared" si="40"/>
        <v/>
      </c>
      <c r="L177" s="203" t="e">
        <f t="shared" si="41"/>
        <v>#VALUE!</v>
      </c>
      <c r="M177" s="112"/>
      <c r="N177" s="112"/>
      <c r="O177" s="112"/>
      <c r="P177" s="112"/>
      <c r="Q177" s="112"/>
      <c r="R177" s="210"/>
      <c r="S177" s="210"/>
    </row>
    <row r="178" spans="2:19" s="204" customFormat="1" ht="87" customHeight="1" x14ac:dyDescent="0.25">
      <c r="B178" s="207"/>
      <c r="C178" s="66"/>
      <c r="D178" s="66"/>
      <c r="E178" s="67" t="e">
        <f t="shared" si="38"/>
        <v>#VALUE!</v>
      </c>
      <c r="F178" s="68"/>
      <c r="G178" s="128"/>
      <c r="H178" s="211"/>
      <c r="J178" s="201" t="str">
        <f t="shared" si="39"/>
        <v/>
      </c>
      <c r="K178" s="202" t="str">
        <f t="shared" si="40"/>
        <v/>
      </c>
      <c r="L178" s="203" t="e">
        <f t="shared" si="41"/>
        <v>#VALUE!</v>
      </c>
      <c r="M178" s="112"/>
      <c r="N178" s="112"/>
      <c r="O178" s="112"/>
      <c r="P178" s="112"/>
      <c r="Q178" s="112"/>
      <c r="R178" s="210"/>
      <c r="S178" s="210"/>
    </row>
    <row r="179" spans="2:19" x14ac:dyDescent="0.25">
      <c r="B179" s="64"/>
      <c r="C179" s="64"/>
      <c r="D179" s="64"/>
      <c r="F179" s="64"/>
      <c r="G179" s="62"/>
      <c r="J179" s="76"/>
    </row>
    <row r="180" spans="2:19" x14ac:dyDescent="0.25">
      <c r="B180" s="64"/>
      <c r="C180" s="64"/>
      <c r="D180" s="64"/>
      <c r="F180" s="64"/>
      <c r="J180" s="76"/>
    </row>
    <row r="181" spans="2:19" x14ac:dyDescent="0.25">
      <c r="B181" s="64"/>
      <c r="C181" s="64"/>
      <c r="D181" s="64"/>
      <c r="F181" s="64"/>
      <c r="J181" s="76"/>
    </row>
    <row r="182" spans="2:19" x14ac:dyDescent="0.25">
      <c r="B182" s="64"/>
      <c r="C182" s="64"/>
      <c r="D182" s="64"/>
      <c r="F182" s="64"/>
      <c r="J182" s="76"/>
    </row>
    <row r="183" spans="2:19" x14ac:dyDescent="0.25">
      <c r="B183" s="64"/>
      <c r="C183" s="64"/>
      <c r="D183" s="64"/>
      <c r="F183" s="64"/>
      <c r="J183" s="76"/>
    </row>
    <row r="184" spans="2:19" x14ac:dyDescent="0.25">
      <c r="B184" s="64"/>
      <c r="C184" s="64"/>
      <c r="D184" s="64"/>
      <c r="F184" s="64"/>
      <c r="J184" s="76"/>
    </row>
    <row r="185" spans="2:19" x14ac:dyDescent="0.25">
      <c r="B185" s="64"/>
      <c r="C185" s="64"/>
      <c r="D185" s="64"/>
      <c r="F185" s="64"/>
      <c r="J185" s="76"/>
    </row>
    <row r="186" spans="2:19" x14ac:dyDescent="0.25">
      <c r="B186" s="64"/>
      <c r="C186" s="64"/>
      <c r="D186" s="64"/>
      <c r="F186" s="64"/>
      <c r="J186" s="76"/>
    </row>
    <row r="187" spans="2:19" x14ac:dyDescent="0.25">
      <c r="B187" s="64"/>
      <c r="C187" s="64"/>
      <c r="D187" s="64"/>
      <c r="F187" s="64"/>
      <c r="J187" s="76"/>
    </row>
    <row r="188" spans="2:19" x14ac:dyDescent="0.25">
      <c r="B188" s="64"/>
      <c r="C188" s="64"/>
      <c r="D188" s="64"/>
      <c r="F188" s="64"/>
      <c r="J188" s="76"/>
    </row>
    <row r="189" spans="2:19" x14ac:dyDescent="0.25">
      <c r="B189" s="64"/>
      <c r="C189" s="64"/>
      <c r="D189" s="64"/>
      <c r="F189" s="64"/>
      <c r="J189" s="76"/>
    </row>
    <row r="190" spans="2:19" x14ac:dyDescent="0.25">
      <c r="F190" s="64"/>
      <c r="J190" s="76"/>
    </row>
  </sheetData>
  <sheetProtection algorithmName="SHA-512" hashValue="HTpyYsD/VFtyiSHzdjZyDfs/iSMNdLB/S2KZFpRauINjQvRbPJbNlr2eEEQm+hQQGWIJEAF7aoVlSpCMyJM/+w==" saltValue="c/O2AMBQIieHvmT1wdldPQ==" spinCount="100000" sheet="1"/>
  <dataConsolidate/>
  <mergeCells count="10">
    <mergeCell ref="G12:J12"/>
    <mergeCell ref="C14:E14"/>
    <mergeCell ref="C15:E15"/>
    <mergeCell ref="C16:E16"/>
    <mergeCell ref="C17:E17"/>
    <mergeCell ref="C5:F7"/>
    <mergeCell ref="C4:F4"/>
    <mergeCell ref="C18:E18"/>
    <mergeCell ref="C19:E19"/>
    <mergeCell ref="A12:E12"/>
  </mergeCells>
  <conditionalFormatting sqref="E25:E34">
    <cfRule type="expression" dxfId="43" priority="61">
      <formula>(IF(OR(L25=27,L25=54,L25=81,L25=108,L25=135),1,0))</formula>
    </cfRule>
    <cfRule type="expression" dxfId="42" priority="62">
      <formula>(IF(OR(L25=22,L25=25,L25=44,L25=50,L25=60,L25=66,L25=75,L25=88,L25=100),1,0))</formula>
    </cfRule>
    <cfRule type="expression" dxfId="41" priority="63" stopIfTrue="1">
      <formula>(IF(OR(L25=15,L25=20,L25=30,L25=40,L25=45),1,0))</formula>
    </cfRule>
    <cfRule type="expression" dxfId="40" priority="64">
      <formula>(IF(OR(L25=5,L25=10),1,0))</formula>
    </cfRule>
  </conditionalFormatting>
  <conditionalFormatting sqref="E39:E48">
    <cfRule type="expression" dxfId="39" priority="57">
      <formula>(IF(OR(L39=27,L39=54,L39=81,L39=108,L39=135),1,0))</formula>
    </cfRule>
    <cfRule type="expression" dxfId="38" priority="58">
      <formula>(IF(OR(L39=22,L39=25,L39=44,L39=50,L39=60,L39=66,L39=75,L39=88,L39=100),1,0))</formula>
    </cfRule>
    <cfRule type="expression" dxfId="37" priority="59" stopIfTrue="1">
      <formula>(IF(OR(L39=15,L39=20,L39=30,L39=40,L39=45),1,0))</formula>
    </cfRule>
    <cfRule type="expression" dxfId="36" priority="60">
      <formula>(IF(OR(L39=5,L39=10),1,0))</formula>
    </cfRule>
  </conditionalFormatting>
  <conditionalFormatting sqref="E53:E62">
    <cfRule type="expression" dxfId="35" priority="53">
      <formula>(IF(OR(L53=27,L53=54,L53=81,L53=108,L53=135),1,0))</formula>
    </cfRule>
    <cfRule type="expression" dxfId="34" priority="54">
      <formula>(IF(OR(L53=22,L53=25,L53=44,L53=50,L53=60,L53=66,L53=75,L53=88,L53=100),1,0))</formula>
    </cfRule>
    <cfRule type="expression" dxfId="33" priority="55" stopIfTrue="1">
      <formula>(IF(OR(L53=15,L53=20,L53=30,L53=40,L53=45),1,0))</formula>
    </cfRule>
    <cfRule type="expression" dxfId="32" priority="56">
      <formula>(IF(OR(L53=5,L53=10),1,0))</formula>
    </cfRule>
  </conditionalFormatting>
  <conditionalFormatting sqref="E67:E76">
    <cfRule type="expression" dxfId="31" priority="49">
      <formula>(IF(OR(L67=27,L67=54,L67=81,L67=108,L67=135),1,0))</formula>
    </cfRule>
    <cfRule type="expression" dxfId="30" priority="50">
      <formula>(IF(OR(L67=22,L67=25,L67=44,L67=50,L67=60,L67=66,L67=75,L67=88,L67=100),1,0))</formula>
    </cfRule>
    <cfRule type="expression" dxfId="29" priority="51" stopIfTrue="1">
      <formula>(IF(OR(L67=15,L67=20,L67=30,L67=40,L67=45),1,0))</formula>
    </cfRule>
    <cfRule type="expression" dxfId="28" priority="52">
      <formula>(IF(OR(L67=5,L67=10),1,0))</formula>
    </cfRule>
  </conditionalFormatting>
  <conditionalFormatting sqref="E81:E90">
    <cfRule type="expression" dxfId="27" priority="45">
      <formula>(IF(OR(L81=27,L81=54,L81=81,L81=108,L81=135),1,0))</formula>
    </cfRule>
    <cfRule type="expression" dxfId="26" priority="46">
      <formula>(IF(OR(L81=22,L81=25,L81=44,L81=50,L81=60,L81=66,L81=75,L81=88,L81=100),1,0))</formula>
    </cfRule>
    <cfRule type="expression" dxfId="25" priority="47" stopIfTrue="1">
      <formula>(IF(OR(L81=15,L81=20,L81=30,L81=40,L81=45),1,0))</formula>
    </cfRule>
    <cfRule type="expression" dxfId="24" priority="48">
      <formula>(IF(OR(L81=5,L81=10),1,0))</formula>
    </cfRule>
  </conditionalFormatting>
  <conditionalFormatting sqref="E95:E104">
    <cfRule type="expression" dxfId="23" priority="41">
      <formula>(IF(OR(L95=27,L95=54,L95=81,L95=108,L95=135),1,0))</formula>
    </cfRule>
    <cfRule type="expression" dxfId="22" priority="42">
      <formula>(IF(OR(L95=22,L95=25,L95=44,L95=50,L95=60,L95=66,L95=75,L95=88,L95=100),1,0))</formula>
    </cfRule>
    <cfRule type="expression" dxfId="21" priority="43" stopIfTrue="1">
      <formula>(IF(OR(L95=15,L95=20,L95=30,L95=40,L95=45),1,0))</formula>
    </cfRule>
    <cfRule type="expression" dxfId="20" priority="44">
      <formula>(IF(OR(L95=5,L95=10),1,0))</formula>
    </cfRule>
  </conditionalFormatting>
  <conditionalFormatting sqref="E109:E118">
    <cfRule type="expression" dxfId="19" priority="33">
      <formula>(IF(OR(L109=27,L109=54,L109=81,L109=108,L109=135),1,0))</formula>
    </cfRule>
    <cfRule type="expression" dxfId="18" priority="34">
      <formula>(IF(OR(L109=22,L109=25,L109=44,L109=50,L109=60,L109=66,L109=75,L109=88,L109=100),1,0))</formula>
    </cfRule>
    <cfRule type="expression" dxfId="17" priority="35" stopIfTrue="1">
      <formula>(IF(OR(L109=15,L109=20,L109=30,L109=40,L109=45),1,0))</formula>
    </cfRule>
    <cfRule type="expression" dxfId="16" priority="36">
      <formula>(IF(OR(L109=5,L109=10),1,0))</formula>
    </cfRule>
  </conditionalFormatting>
  <conditionalFormatting sqref="E123:E132">
    <cfRule type="expression" dxfId="15" priority="29">
      <formula>(IF(OR(L123=27,L123=54,L123=81,L123=108,L123=135),1,0))</formula>
    </cfRule>
    <cfRule type="expression" dxfId="14" priority="30">
      <formula>(IF(OR(L123=22,L123=25,L123=44,L123=50,L123=60,L123=66,L123=75,L123=88,L123=100),1,0))</formula>
    </cfRule>
    <cfRule type="expression" dxfId="13" priority="31" stopIfTrue="1">
      <formula>(IF(OR(L123=15,L123=20,L123=30,L123=40,L123=45),1,0))</formula>
    </cfRule>
    <cfRule type="expression" dxfId="12" priority="32">
      <formula>(IF(OR(L123=5,L123=10),1,0))</formula>
    </cfRule>
  </conditionalFormatting>
  <conditionalFormatting sqref="E137:E146">
    <cfRule type="expression" dxfId="11" priority="25">
      <formula>(IF(OR(L137=27,L137=54,L137=81,L137=108,L137=135),1,0))</formula>
    </cfRule>
    <cfRule type="expression" dxfId="10" priority="26">
      <formula>(IF(OR(L137=22,L137=25,L137=44,L137=50,L137=60,L137=66,L137=75,L137=88,L137=100),1,0))</formula>
    </cfRule>
    <cfRule type="expression" dxfId="9" priority="27" stopIfTrue="1">
      <formula>(IF(OR(L137=15,L137=20,L137=30,L137=40,L137=45),1,0))</formula>
    </cfRule>
    <cfRule type="expression" dxfId="8" priority="28">
      <formula>(IF(OR(L137=5,L137=10),1,0))</formula>
    </cfRule>
  </conditionalFormatting>
  <conditionalFormatting sqref="E151:E160">
    <cfRule type="expression" dxfId="7" priority="21">
      <formula>(IF(OR(L151=27,L151=54,L151=81,L151=108,L151=135),1,0))</formula>
    </cfRule>
    <cfRule type="expression" dxfId="6" priority="22">
      <formula>(IF(OR(L151=22,L151=25,L151=44,L151=50,L151=60,L151=66,L151=75,L151=88,L151=100),1,0))</formula>
    </cfRule>
    <cfRule type="expression" dxfId="5" priority="23" stopIfTrue="1">
      <formula>(IF(OR(L151=15,L151=20,L151=30,L151=40,L151=45),1,0))</formula>
    </cfRule>
    <cfRule type="expression" dxfId="4" priority="24">
      <formula>(IF(OR(L151=5,L151=10),1,0))</formula>
    </cfRule>
  </conditionalFormatting>
  <conditionalFormatting sqref="E165:E178">
    <cfRule type="expression" dxfId="3" priority="1">
      <formula>(IF(OR(L165=27,L165=54,L165=81,L165=108,L165=135),1,0))</formula>
    </cfRule>
    <cfRule type="expression" dxfId="2" priority="2">
      <formula>(IF(OR(L165=22,L165=25,L165=44,L165=50,L165=60,L165=66,L165=75,L165=88,L165=100),1,0))</formula>
    </cfRule>
    <cfRule type="expression" dxfId="1" priority="3" stopIfTrue="1">
      <formula>(IF(OR(L165=15,L165=20,L165=30,L165=40,L165=45),1,0))</formula>
    </cfRule>
    <cfRule type="expression" dxfId="0" priority="4">
      <formula>(IF(OR(L165=5,L165=10),1,0))</formula>
    </cfRule>
  </conditionalFormatting>
  <dataValidations count="3">
    <dataValidation type="list" allowBlank="1" showInputMessage="1" showErrorMessage="1" sqref="D25:D34 D39:D48 D53:D62 D67:D76 D81:D90 D95:D104 D109:D118 D123:D132 D137:D146 D151:D160 D165:D178">
      <formula1>$H$15:$H$19</formula1>
    </dataValidation>
    <dataValidation type="list" allowBlank="1" showInputMessage="1" showErrorMessage="1" sqref="C25:C34 C39:C48 C53:C62 C67:C76 C81:C90 C95:C104 C109:C118 C123:C132 C137:C146 C151:C160 C165:C178">
      <formula1>$B$15:$B$19</formula1>
    </dataValidation>
    <dataValidation type="list" allowBlank="1" showInputMessage="1" showErrorMessage="1" sqref="F25:F34 F39:F48 F53:F62 F67:F76 F81:F90 F95:F104 F109:F118 F123:F132 F137:F146 F151:F160 F165:F178">
      <formula1>$Y$2:$Y$8</formula1>
    </dataValidation>
  </dataValidations>
  <pageMargins left="0.70866141732283472" right="0.70866141732283472" top="0.74803149606299213" bottom="0.74803149606299213" header="0.31496062992125984" footer="0.31496062992125984"/>
  <pageSetup scale="28" fitToHeight="11"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'Catalogo Otros Riesgos'!$B$8:$B$115</xm:f>
          </x14:formula1>
          <xm:sqref>B165:B178</xm:sqref>
        </x14:dataValidation>
        <x14:dataValidation type="list" allowBlank="1" showInputMessage="1" showErrorMessage="1">
          <x14:formula1>
            <xm:f>'Catalogo Otros Riesgos'!$C$8:$C$115</xm:f>
          </x14:formula1>
          <xm:sqref>G165:G178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73"/>
  <sheetViews>
    <sheetView showGridLines="0" workbookViewId="0">
      <selection activeCell="D8" sqref="D8"/>
    </sheetView>
  </sheetViews>
  <sheetFormatPr baseColWidth="10" defaultColWidth="10.85546875" defaultRowHeight="15" x14ac:dyDescent="0.25"/>
  <cols>
    <col min="1" max="1" width="10.85546875" style="134"/>
    <col min="2" max="2" width="21.85546875" style="134" customWidth="1"/>
    <col min="3" max="3" width="6.42578125" style="190" customWidth="1"/>
    <col min="4" max="4" width="57.7109375" style="134" customWidth="1"/>
    <col min="5" max="5" width="41.42578125" style="134" customWidth="1"/>
    <col min="6" max="16384" width="10.85546875" style="134"/>
  </cols>
  <sheetData>
    <row r="3" spans="2:5" ht="18.75" x14ac:dyDescent="0.3">
      <c r="D3" s="259" t="s">
        <v>758</v>
      </c>
      <c r="E3" s="260"/>
    </row>
    <row r="6" spans="2:5" x14ac:dyDescent="0.25">
      <c r="D6" s="191" t="str">
        <f>'Eval Factores de Riesgo'!C2</f>
        <v>1. Factor de Riesgos: Riesgos Legales</v>
      </c>
      <c r="E6" s="191" t="s">
        <v>616</v>
      </c>
    </row>
    <row r="8" spans="2:5" ht="95.25" customHeight="1" x14ac:dyDescent="0.25">
      <c r="B8" s="192" t="s">
        <v>612</v>
      </c>
      <c r="C8" s="193">
        <f>'Eval Factores de Riesgo'!DR3</f>
        <v>3</v>
      </c>
      <c r="D8" s="194" t="str">
        <f>VLOOKUP('Eval Factores de Riesgo'!DR3,'Eval Factores de Riesgo'!B3:C7,2)</f>
        <v>licencias y permisos</v>
      </c>
      <c r="E8" s="223" t="str">
        <f>VLOOKUP(C8,'Catalogo Tratamiento de Riesgos'!A8:C12,3)</f>
        <v>Verificar costos y tiempos de trámite de licencias y permisos, contemplar en el modelo financiero para la estructuración de la oferta y asignar holguras en el cronograma de actividades.</v>
      </c>
    </row>
    <row r="9" spans="2:5" x14ac:dyDescent="0.25">
      <c r="B9" s="167"/>
      <c r="C9" s="195"/>
      <c r="D9" s="167"/>
      <c r="E9" s="224"/>
    </row>
    <row r="10" spans="2:5" ht="82.5" customHeight="1" x14ac:dyDescent="0.25">
      <c r="B10" s="192" t="s">
        <v>613</v>
      </c>
      <c r="C10" s="196">
        <f>'Eval Factores de Riesgo'!DR9</f>
        <v>8</v>
      </c>
      <c r="D10" s="194" t="s">
        <v>860</v>
      </c>
      <c r="E10" s="223" t="str">
        <f>VLOOKUP(C10,'Catalogo Tratamiento de Riesgos'!A78:C93,3)</f>
        <v>Validar supuestos en la estimación del presupuesto, determinar supuestos críticos, establecer reserva de contingencia respectiva.</v>
      </c>
    </row>
    <row r="11" spans="2:5" x14ac:dyDescent="0.25">
      <c r="E11" s="224"/>
    </row>
    <row r="12" spans="2:5" x14ac:dyDescent="0.25">
      <c r="E12" s="224"/>
    </row>
    <row r="13" spans="2:5" x14ac:dyDescent="0.25">
      <c r="D13" s="191" t="str">
        <f>'Eval Factores de Riesgo'!C10</f>
        <v>2. Factor de Riesgos Tecnológicos y de Infraestructura Pública</v>
      </c>
      <c r="E13" s="225"/>
    </row>
    <row r="14" spans="2:5" x14ac:dyDescent="0.25">
      <c r="E14" s="224"/>
    </row>
    <row r="15" spans="2:5" ht="87.75" customHeight="1" x14ac:dyDescent="0.25">
      <c r="B15" s="192" t="s">
        <v>612</v>
      </c>
      <c r="C15" s="196">
        <f>'Eval Factores de Riesgo'!DR11</f>
        <v>5</v>
      </c>
      <c r="D15" s="194" t="str">
        <f>VLOOKUP('Eval Factores de Riesgo'!DR11,'Eval Factores de Riesgo'!B11:C16,2)</f>
        <v>Operatividad y estado de las vías de acceso y disponibilidad limitada o no disponibilidad de medios de transporte adecuados para transitar y acceder a los sitios indicados para ejecutar las actividades propias del proyecto.</v>
      </c>
      <c r="E15" s="223" t="str">
        <f>VLOOKUP(C15,'Catalogo Tratamiento de Riesgos'!A15:C20,3)</f>
        <v>Verificar tiempos de recorridos, establecer rutas alternas, contemplar holguras en el cronograma para las actividades de la ruta crítica.</v>
      </c>
    </row>
    <row r="16" spans="2:5" x14ac:dyDescent="0.25">
      <c r="B16" s="167"/>
      <c r="C16" s="195"/>
      <c r="E16" s="224"/>
    </row>
    <row r="17" spans="2:5" ht="111.75" customHeight="1" x14ac:dyDescent="0.25">
      <c r="B17" s="192" t="s">
        <v>613</v>
      </c>
      <c r="C17" s="193">
        <f>'Eval Factores de Riesgo'!DR18</f>
        <v>12</v>
      </c>
      <c r="D17" s="194" t="str">
        <f>VLOOKUP('Eval Factores de Riesgo'!DR18,'Eval Factores de Riesgo'!B93:C108,2)</f>
        <v>Efectos en costos de Servicios Conexos</v>
      </c>
      <c r="E17" s="223" t="str">
        <f>VLOOKUP(C17,'Catalogo Tratamiento de Riesgos'!A78:C93,3)</f>
        <v>Validar supuestos en la estimación del presupuesto, determinar supuestos críticos, establecer reserva de contingencia respectiva.</v>
      </c>
    </row>
    <row r="18" spans="2:5" x14ac:dyDescent="0.25">
      <c r="E18" s="224"/>
    </row>
    <row r="19" spans="2:5" x14ac:dyDescent="0.25">
      <c r="E19" s="224"/>
    </row>
    <row r="20" spans="2:5" ht="30" x14ac:dyDescent="0.25">
      <c r="D20" s="191" t="str">
        <f>'Eval Factores de Riesgo'!C19</f>
        <v>3. Factor de Riesgo Actos de Terceros Relacionados y Subcontratos</v>
      </c>
      <c r="E20" s="225"/>
    </row>
    <row r="21" spans="2:5" x14ac:dyDescent="0.25">
      <c r="E21" s="224"/>
    </row>
    <row r="22" spans="2:5" ht="86.45" customHeight="1" x14ac:dyDescent="0.25">
      <c r="B22" s="192" t="s">
        <v>612</v>
      </c>
      <c r="C22" s="196">
        <f>'Eval Factores de Riesgo'!DR20</f>
        <v>2</v>
      </c>
      <c r="D22" s="194" t="str">
        <f>VLOOKUP('Eval Factores de Riesgo'!DR20,'Eval Factores de Riesgo'!B20:C23,2)</f>
        <v>proveedores</v>
      </c>
      <c r="E22" s="223" t="str">
        <f>VLOOKUP('Incidencias y Tratamientos'!C22,'Catalogo Tratamiento de Riesgos'!A23:C26,3)</f>
        <v>Establecer términos y condiciones de idoneidad de proveedores.Establecer acuerdos de precios y cantidades de suministro. Establecer clausulas penales y requerir garantías a proveedores.</v>
      </c>
    </row>
    <row r="23" spans="2:5" x14ac:dyDescent="0.25">
      <c r="E23" s="224"/>
    </row>
    <row r="24" spans="2:5" ht="84.95" customHeight="1" x14ac:dyDescent="0.25">
      <c r="B24" s="192" t="s">
        <v>613</v>
      </c>
      <c r="C24" s="193">
        <f>'Eval Factores de Riesgo'!DR25</f>
        <v>12</v>
      </c>
      <c r="D24" s="194" t="str">
        <f>VLOOKUP('Eval Factores de Riesgo'!DR25,'Eval Factores de Riesgo'!B93:C108,2)</f>
        <v>Efectos en costos de Servicios Conexos</v>
      </c>
      <c r="E24" s="223" t="str">
        <f>VLOOKUP(C24,'Catalogo Tratamiento de Riesgos'!A78:C93,3)</f>
        <v>Validar supuestos en la estimación del presupuesto, determinar supuestos críticos, establecer reserva de contingencia respectiva.</v>
      </c>
    </row>
    <row r="25" spans="2:5" x14ac:dyDescent="0.25">
      <c r="E25" s="224"/>
    </row>
    <row r="26" spans="2:5" x14ac:dyDescent="0.25">
      <c r="E26" s="224"/>
    </row>
    <row r="27" spans="2:5" x14ac:dyDescent="0.25">
      <c r="D27" s="191" t="str">
        <f>'Eval Factores de Riesgo'!C26</f>
        <v>4. Factor de Riesgos Socio-Políticos</v>
      </c>
      <c r="E27" s="225"/>
    </row>
    <row r="28" spans="2:5" x14ac:dyDescent="0.25">
      <c r="E28" s="224"/>
    </row>
    <row r="29" spans="2:5" ht="111.95" customHeight="1" x14ac:dyDescent="0.25">
      <c r="B29" s="192" t="s">
        <v>612</v>
      </c>
      <c r="C29" s="196">
        <f>'Eval Factores de Riesgo'!DR27</f>
        <v>5</v>
      </c>
      <c r="D29" s="194" t="str">
        <f>VLOOKUP('Eval Factores de Riesgo'!DR27,'Eval Factores de Riesgo'!B27:C32,2)</f>
        <v xml:space="preserve">protestas </v>
      </c>
      <c r="E29" s="223" t="str">
        <f>VLOOKUP(C29,'Catalogo Tratamiento de Riesgos'!A29:C34,3)</f>
        <v>establecer los monitoreos necesarios de las condiciones de orden público presentes en la zona, programar holguras para las actividades de campo requeridas en el contrato,</v>
      </c>
    </row>
    <row r="30" spans="2:5" x14ac:dyDescent="0.25">
      <c r="E30" s="224"/>
    </row>
    <row r="31" spans="2:5" ht="113.45" customHeight="1" x14ac:dyDescent="0.25">
      <c r="B31" s="192" t="s">
        <v>613</v>
      </c>
      <c r="C31" s="196">
        <f>'Eval Factores de Riesgo'!DR34</f>
        <v>5</v>
      </c>
      <c r="D31" s="194" t="str">
        <f>VLOOKUP('Eval Factores de Riesgo'!DR34,'Eval Factores de Riesgo'!B93:C108,2)</f>
        <v>Efectos en costos por el Contexto Sociopolítico</v>
      </c>
      <c r="E31" s="223" t="str">
        <f>VLOOKUP(C31,'Catalogo Tratamiento de Riesgos'!A78:C93,3)</f>
        <v xml:space="preserve">establecer los monitoreos necesarios de las condiciones de orden público presentes en la zona, programar holguras para las actividades de campo requeridas en el contrato, solicitar el acompañamiento de la fuerza pública en los casos que resulte necesario. </v>
      </c>
    </row>
    <row r="32" spans="2:5" x14ac:dyDescent="0.25">
      <c r="E32" s="224"/>
    </row>
    <row r="33" spans="2:5" x14ac:dyDescent="0.25">
      <c r="E33" s="224"/>
    </row>
    <row r="34" spans="2:5" x14ac:dyDescent="0.25">
      <c r="D34" s="191" t="str">
        <f>'Eval Factores de Riesgo'!C35</f>
        <v>5. Factor de Riesgos Macroeconómicos</v>
      </c>
      <c r="E34" s="225"/>
    </row>
    <row r="35" spans="2:5" x14ac:dyDescent="0.25">
      <c r="E35" s="224"/>
    </row>
    <row r="36" spans="2:5" ht="71.25" customHeight="1" x14ac:dyDescent="0.25">
      <c r="B36" s="192" t="s">
        <v>612</v>
      </c>
      <c r="C36" s="196">
        <f>'Eval Factores de Riesgo'!DR36</f>
        <v>6</v>
      </c>
      <c r="D36" s="194" t="str">
        <f>VLOOKUP('Eval Factores de Riesgo'!DR36,'Eval Factores de Riesgo'!B36:C41,2)</f>
        <v>oferta o demanda de bienes y servicios</v>
      </c>
      <c r="E36" s="223" t="str">
        <f>VLOOKUP(C36,'Catalogo Tratamiento de Riesgos'!A37:C42,3)</f>
        <v>Validar supuestos en la estimación del presupuesto, determinar supuestos críticos, establecer reserva de contingencia respectiva.</v>
      </c>
    </row>
    <row r="37" spans="2:5" x14ac:dyDescent="0.25">
      <c r="E37" s="224"/>
    </row>
    <row r="38" spans="2:5" ht="72.95" customHeight="1" x14ac:dyDescent="0.25">
      <c r="B38" s="192" t="s">
        <v>613</v>
      </c>
      <c r="C38" s="196">
        <f>'Eval Factores de Riesgo'!DR43</f>
        <v>12</v>
      </c>
      <c r="D38" s="194" t="str">
        <f>VLOOKUP('Eval Factores de Riesgo'!DR43,'Eval Factores de Riesgo'!B93:C108,2)</f>
        <v>Efectos en costos de Servicios Conexos</v>
      </c>
      <c r="E38" s="223" t="str">
        <f>VLOOKUP(C38,'Catalogo Tratamiento de Riesgos'!A78:C93,3)</f>
        <v>Validar supuestos en la estimación del presupuesto, determinar supuestos críticos, establecer reserva de contingencia respectiva.</v>
      </c>
    </row>
    <row r="39" spans="2:5" x14ac:dyDescent="0.25">
      <c r="E39" s="224"/>
    </row>
    <row r="40" spans="2:5" x14ac:dyDescent="0.25">
      <c r="E40" s="224"/>
    </row>
    <row r="41" spans="2:5" x14ac:dyDescent="0.25">
      <c r="D41" s="191" t="str">
        <f>'Eval Factores de Riesgo'!C44</f>
        <v>6. Factor de Riesgos Actos de la Naturaleza</v>
      </c>
      <c r="E41" s="225"/>
    </row>
    <row r="42" spans="2:5" x14ac:dyDescent="0.25">
      <c r="E42" s="224"/>
    </row>
    <row r="43" spans="2:5" ht="90" x14ac:dyDescent="0.25">
      <c r="B43" s="192" t="s">
        <v>612</v>
      </c>
      <c r="C43" s="196">
        <f>'Eval Factores de Riesgo'!DR45</f>
        <v>4</v>
      </c>
      <c r="D43" s="194" t="str">
        <f>VLOOKUP('Eval Factores de Riesgo'!DR45,'Eval Factores de Riesgo'!B45:C51,2)</f>
        <v>Climáticos</v>
      </c>
      <c r="E43" s="223" t="str">
        <f>VLOOKUP(C43,'Catalogo Tratamiento de Riesgos'!A45:C51,3)</f>
        <v>Incluir en el plan de trabajo como ítem crítico de control el seguimiento del estado de las condiciones climáticas. Verificar actividades de la ruta crítica con mayor exposición, incrementar holguras en las de mayor incidencia.</v>
      </c>
    </row>
    <row r="44" spans="2:5" x14ac:dyDescent="0.25">
      <c r="E44" s="224"/>
    </row>
    <row r="45" spans="2:5" ht="60" x14ac:dyDescent="0.25">
      <c r="B45" s="192" t="s">
        <v>613</v>
      </c>
      <c r="C45" s="196">
        <f>'Eval Factores de Riesgo'!DR53</f>
        <v>12</v>
      </c>
      <c r="D45" s="194" t="str">
        <f>VLOOKUP('Eval Factores de Riesgo'!DR53,'Eval Factores de Riesgo'!B93:C108,2)</f>
        <v>Efectos en costos de Servicios Conexos</v>
      </c>
      <c r="E45" s="223" t="str">
        <f>VLOOKUP(C45,'Catalogo Tratamiento de Riesgos'!A78:C93,3)</f>
        <v>Validar supuestos en la estimación del presupuesto, determinar supuestos críticos, establecer reserva de contingencia respectiva.</v>
      </c>
    </row>
    <row r="46" spans="2:5" x14ac:dyDescent="0.25">
      <c r="E46" s="224"/>
    </row>
    <row r="47" spans="2:5" x14ac:dyDescent="0.25">
      <c r="E47" s="224"/>
    </row>
    <row r="48" spans="2:5" x14ac:dyDescent="0.25">
      <c r="D48" s="191" t="str">
        <f>'Eval Factores de Riesgo'!C54</f>
        <v>7. Factor de Riesgos Relaciones Laborales</v>
      </c>
      <c r="E48" s="225"/>
    </row>
    <row r="49" spans="2:5" x14ac:dyDescent="0.25">
      <c r="E49" s="224"/>
    </row>
    <row r="50" spans="2:5" ht="63.95" customHeight="1" x14ac:dyDescent="0.25">
      <c r="B50" s="192" t="s">
        <v>612</v>
      </c>
      <c r="C50" s="196">
        <f>'Eval Factores de Riesgo'!DR55</f>
        <v>1</v>
      </c>
      <c r="D50" s="194" t="str">
        <f>VLOOKUP('Eval Factores de Riesgo'!DR55,'Eval Factores de Riesgo'!B55:C61,2)</f>
        <v>accidentes laborales</v>
      </c>
      <c r="E50" s="223" t="str">
        <f>VLOOKUP(C50,'Catalogo Tratamiento de Riesgos'!A54:C60,3)</f>
        <v>Establecer plan de gestión de salud y seguridad en el trabajo. Validar afiliaciones al SGSS. Contar con póliza de responsabilidad civil extracontractual con amparo patronal.</v>
      </c>
    </row>
    <row r="51" spans="2:5" x14ac:dyDescent="0.25">
      <c r="E51" s="224"/>
    </row>
    <row r="52" spans="2:5" ht="62.45" customHeight="1" x14ac:dyDescent="0.25">
      <c r="B52" s="192" t="s">
        <v>613</v>
      </c>
      <c r="C52" s="196">
        <f>'Eval Factores de Riesgo'!DR63</f>
        <v>13</v>
      </c>
      <c r="D52" s="194" t="str">
        <f>VLOOKUP('Eval Factores de Riesgo'!DR63,'Eval Factores de Riesgo'!B93:C108,2)</f>
        <v>Efectos en costos por la complejidad de Direccionamiento y Gestión</v>
      </c>
      <c r="E52" s="223" t="str">
        <f>VLOOKUP(C52,'Catalogo Tratamiento de Riesgos'!A78:C93,3)</f>
        <v>Validar supuestos en la estimación del presupuesto, determinar supuestos críticos, establecer reserva de contingencia respectiva.</v>
      </c>
    </row>
    <row r="53" spans="2:5" x14ac:dyDescent="0.25">
      <c r="E53" s="224"/>
    </row>
    <row r="54" spans="2:5" x14ac:dyDescent="0.25">
      <c r="E54" s="224"/>
    </row>
    <row r="55" spans="2:5" x14ac:dyDescent="0.25">
      <c r="D55" s="191" t="str">
        <f>'Eval Factores de Riesgo'!C64</f>
        <v>8. Factores Riesgos Hechos de las Cosas</v>
      </c>
      <c r="E55" s="225"/>
    </row>
    <row r="56" spans="2:5" x14ac:dyDescent="0.25">
      <c r="E56" s="224"/>
    </row>
    <row r="57" spans="2:5" ht="80.25" customHeight="1" x14ac:dyDescent="0.25">
      <c r="B57" s="192" t="s">
        <v>612</v>
      </c>
      <c r="C57" s="196">
        <f>'Eval Factores de Riesgo'!DR65</f>
        <v>6</v>
      </c>
      <c r="D57" s="194" t="str">
        <f>VLOOKUP('Eval Factores de Riesgo'!DR65,'Eval Factores de Riesgo'!B65:C72,2)</f>
        <v>Falla Mecánica</v>
      </c>
      <c r="E57" s="223" t="str">
        <f>VLOOKUP(C57,'Catalogo Tratamiento de Riesgos'!A63:C70,3)</f>
        <v>Establecer planes de mantenimiento y regímenes de operación de conformidad con lo establecido en los manuales de operación del fabricante. Contratar póliza TRDM.</v>
      </c>
    </row>
    <row r="58" spans="2:5" x14ac:dyDescent="0.25">
      <c r="E58" s="224"/>
    </row>
    <row r="59" spans="2:5" ht="63.95" customHeight="1" x14ac:dyDescent="0.25">
      <c r="B59" s="192" t="s">
        <v>613</v>
      </c>
      <c r="C59" s="196">
        <f>'Eval Factores de Riesgo'!DR74</f>
        <v>12</v>
      </c>
      <c r="D59" s="194" t="str">
        <f>VLOOKUP('Eval Factores de Riesgo'!DR74,'Eval Factores de Riesgo'!B93:C108,2)</f>
        <v>Efectos en costos de Servicios Conexos</v>
      </c>
      <c r="E59" s="223" t="str">
        <f>VLOOKUP(C59,'Catalogo Tratamiento de Riesgos'!A78:C93,3)</f>
        <v>Validar supuestos en la estimación del presupuesto, determinar supuestos críticos, establecer reserva de contingencia respectiva.</v>
      </c>
    </row>
    <row r="60" spans="2:5" x14ac:dyDescent="0.25">
      <c r="E60" s="224"/>
    </row>
    <row r="61" spans="2:5" x14ac:dyDescent="0.25">
      <c r="E61" s="224"/>
    </row>
    <row r="62" spans="2:5" x14ac:dyDescent="0.25">
      <c r="D62" s="191" t="str">
        <f>'Eval Factores de Riesgo'!C76</f>
        <v>9. Factor de Riesgos Vicios</v>
      </c>
      <c r="E62" s="225"/>
    </row>
    <row r="63" spans="2:5" x14ac:dyDescent="0.25">
      <c r="E63" s="224"/>
    </row>
    <row r="64" spans="2:5" ht="83.25" customHeight="1" x14ac:dyDescent="0.25">
      <c r="B64" s="192" t="s">
        <v>612</v>
      </c>
      <c r="C64" s="196">
        <f>'Eval Factores de Riesgo'!B77</f>
        <v>1</v>
      </c>
      <c r="D64" s="194" t="str">
        <f>'Eval Factores de Riesgo'!C77</f>
        <v>Vicios ocultos</v>
      </c>
      <c r="E64" s="223" t="str">
        <f>'Catalogo Tratamiento de Riesgos'!C73</f>
        <v>Verificar procesos y procedimiento, establecer monitoreo y control de actividades críticas, considerar en el rubro de contingencias costos de no calidad.</v>
      </c>
    </row>
    <row r="65" spans="2:5" x14ac:dyDescent="0.25">
      <c r="E65" s="224"/>
    </row>
    <row r="66" spans="2:5" ht="92.25" customHeight="1" x14ac:dyDescent="0.25">
      <c r="B66" s="192" t="s">
        <v>613</v>
      </c>
      <c r="C66" s="196">
        <f>'Eval Factores de Riesgo'!DR84</f>
        <v>6</v>
      </c>
      <c r="D66" s="194" t="str">
        <f>VLOOKUP('Eval Factores de Riesgo'!DR84,'Eval Factores de Riesgo'!B93:C108,2)</f>
        <v>Efectos en Costos por Complejidad de la actividad</v>
      </c>
      <c r="E66" s="223" t="str">
        <f>VLOOKUP(C66,'Catalogo Tratamiento de Riesgos'!A78:C93,3)</f>
        <v>Establecer métodos y procedimientos, verificar capacidades y habilidades del personal, establecer cadena de supervisión y niveles de decisión.</v>
      </c>
    </row>
    <row r="67" spans="2:5" x14ac:dyDescent="0.25">
      <c r="E67" s="224"/>
    </row>
    <row r="68" spans="2:5" x14ac:dyDescent="0.25">
      <c r="E68" s="224"/>
    </row>
    <row r="69" spans="2:5" x14ac:dyDescent="0.25">
      <c r="D69" s="191" t="str">
        <f>'Eval Factores de Riesgo'!C85</f>
        <v>10. Factor de Riesgos Actos Culposos o Dolosos de Terceros</v>
      </c>
      <c r="E69" s="225"/>
    </row>
    <row r="70" spans="2:5" x14ac:dyDescent="0.25">
      <c r="E70" s="224"/>
    </row>
    <row r="71" spans="2:5" ht="119.25" customHeight="1" x14ac:dyDescent="0.25">
      <c r="B71" s="192" t="s">
        <v>612</v>
      </c>
      <c r="C71" s="196">
        <f>'Eval Factores de Riesgo'!B86</f>
        <v>1</v>
      </c>
      <c r="D71" s="194" t="str">
        <f>'Eval Factores de Riesgo'!C86</f>
        <v>pérdidas materiales en los bienes actuaciones u omisiones que cometan terceros ajenos al contrato sean de carácter culposo o doloso.</v>
      </c>
      <c r="E71" s="223" t="str">
        <f>'Catalogo Tratamiento de Riesgos'!C76</f>
        <v>Establecer sistema de vigilancia en las locaciones del contrato. Establecer barreras de acceso y controles de ingreso. Establecer zonas de acceso restringido. Establecer identificación de personal y visitantes. Establecer cadena de custodia y responsabilidad de los bienes. Contar con póliza TRDM.</v>
      </c>
    </row>
    <row r="72" spans="2:5" x14ac:dyDescent="0.25">
      <c r="E72" s="226"/>
    </row>
    <row r="73" spans="2:5" ht="78" customHeight="1" x14ac:dyDescent="0.25">
      <c r="B73" s="192" t="s">
        <v>613</v>
      </c>
      <c r="C73" s="196">
        <f>'Eval Factores de Riesgo'!DR92</f>
        <v>11</v>
      </c>
      <c r="D73" s="194" t="str">
        <f>VLOOKUP('Eval Factores de Riesgo'!DR92,'Eval Factores de Riesgo'!B93:C108,2)</f>
        <v>Efectos en costos de Materiales e Insumos</v>
      </c>
      <c r="E73" s="223" t="str">
        <f>VLOOKUP(C73,'Catalogo Tratamiento de Riesgos'!A78:C93,3)</f>
        <v>Validar supuestos en la estimación del presupuesto, determinar supuestos críticos, establecer reserva de contingencia respectiva.</v>
      </c>
    </row>
  </sheetData>
  <sheetProtection algorithmName="SHA-512" hashValue="ebXhQDPyPyzKoAu3xhhZXaDo/fvlLFHTl601OlvcBUDw1axwolqaMj3Y9/V+FQeQoqpo7upS999U2EJvNy/YKA==" saltValue="UoZRB9OgMDoMVD7+MWX9dA==" spinCount="100000" sheet="1"/>
  <mergeCells count="1">
    <mergeCell ref="D3:E3"/>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93"/>
  <sheetViews>
    <sheetView topLeftCell="A85" workbookViewId="0">
      <selection activeCell="B9" sqref="B9"/>
    </sheetView>
  </sheetViews>
  <sheetFormatPr baseColWidth="10" defaultRowHeight="15" x14ac:dyDescent="0.25"/>
  <cols>
    <col min="2" max="2" width="45.7109375" customWidth="1"/>
    <col min="3" max="3" width="50.42578125" customWidth="1"/>
  </cols>
  <sheetData>
    <row r="4" spans="1:3" ht="18.75" x14ac:dyDescent="0.3">
      <c r="B4" s="261" t="s">
        <v>759</v>
      </c>
      <c r="C4" s="262"/>
    </row>
    <row r="6" spans="1:3" x14ac:dyDescent="0.25">
      <c r="C6" s="84" t="s">
        <v>619</v>
      </c>
    </row>
    <row r="7" spans="1:3" x14ac:dyDescent="0.25">
      <c r="B7" s="85" t="s">
        <v>308</v>
      </c>
    </row>
    <row r="8" spans="1:3" ht="45" x14ac:dyDescent="0.25">
      <c r="A8" s="57">
        <v>1</v>
      </c>
      <c r="B8" s="40" t="s">
        <v>245</v>
      </c>
      <c r="C8" s="86" t="s">
        <v>623</v>
      </c>
    </row>
    <row r="9" spans="1:3" ht="45" x14ac:dyDescent="0.25">
      <c r="A9" s="57">
        <v>2</v>
      </c>
      <c r="B9" s="86" t="s">
        <v>246</v>
      </c>
      <c r="C9" s="40" t="s">
        <v>617</v>
      </c>
    </row>
    <row r="10" spans="1:3" ht="60" x14ac:dyDescent="0.25">
      <c r="A10" s="57">
        <v>3</v>
      </c>
      <c r="B10" s="86" t="s">
        <v>247</v>
      </c>
      <c r="C10" s="40" t="s">
        <v>622</v>
      </c>
    </row>
    <row r="11" spans="1:3" ht="45" x14ac:dyDescent="0.25">
      <c r="A11" s="57">
        <v>4</v>
      </c>
      <c r="B11" s="86" t="s">
        <v>295</v>
      </c>
      <c r="C11" s="40" t="s">
        <v>621</v>
      </c>
    </row>
    <row r="12" spans="1:3" ht="75" x14ac:dyDescent="0.25">
      <c r="A12" s="57">
        <v>5</v>
      </c>
      <c r="B12" s="86" t="s">
        <v>296</v>
      </c>
      <c r="C12" s="86" t="s">
        <v>618</v>
      </c>
    </row>
    <row r="13" spans="1:3" x14ac:dyDescent="0.25">
      <c r="A13" s="34"/>
      <c r="B13" s="33"/>
      <c r="C13" s="33"/>
    </row>
    <row r="14" spans="1:3" ht="30" x14ac:dyDescent="0.25">
      <c r="B14" s="85" t="s">
        <v>23</v>
      </c>
    </row>
    <row r="15" spans="1:3" ht="90" x14ac:dyDescent="0.25">
      <c r="A15" s="57">
        <v>1</v>
      </c>
      <c r="B15" s="86" t="s">
        <v>248</v>
      </c>
      <c r="C15" s="40" t="s">
        <v>620</v>
      </c>
    </row>
    <row r="16" spans="1:3" ht="75" x14ac:dyDescent="0.25">
      <c r="A16" s="57">
        <v>2</v>
      </c>
      <c r="B16" s="86" t="s">
        <v>249</v>
      </c>
      <c r="C16" s="40" t="s">
        <v>624</v>
      </c>
    </row>
    <row r="17" spans="1:3" ht="75" x14ac:dyDescent="0.25">
      <c r="A17" s="57">
        <v>3</v>
      </c>
      <c r="B17" s="86" t="s">
        <v>250</v>
      </c>
      <c r="C17" s="40" t="s">
        <v>625</v>
      </c>
    </row>
    <row r="18" spans="1:3" ht="75" x14ac:dyDescent="0.25">
      <c r="A18" s="57">
        <v>4</v>
      </c>
      <c r="B18" s="86" t="s">
        <v>251</v>
      </c>
      <c r="C18" s="86" t="s">
        <v>626</v>
      </c>
    </row>
    <row r="19" spans="1:3" ht="75" x14ac:dyDescent="0.25">
      <c r="A19" s="57">
        <v>5</v>
      </c>
      <c r="B19" s="40" t="s">
        <v>252</v>
      </c>
      <c r="C19" s="86" t="s">
        <v>627</v>
      </c>
    </row>
    <row r="20" spans="1:3" ht="30" x14ac:dyDescent="0.25">
      <c r="A20" s="57">
        <v>6</v>
      </c>
      <c r="B20" s="40" t="s">
        <v>253</v>
      </c>
      <c r="C20" s="40" t="s">
        <v>628</v>
      </c>
    </row>
    <row r="21" spans="1:3" x14ac:dyDescent="0.25">
      <c r="A21" s="34"/>
      <c r="B21" s="33"/>
      <c r="C21" s="33"/>
    </row>
    <row r="22" spans="1:3" ht="30" x14ac:dyDescent="0.25">
      <c r="B22" s="85" t="s">
        <v>24</v>
      </c>
    </row>
    <row r="23" spans="1:3" ht="60" x14ac:dyDescent="0.25">
      <c r="A23" s="57">
        <v>1</v>
      </c>
      <c r="B23" s="38" t="s">
        <v>254</v>
      </c>
      <c r="C23" s="40" t="s">
        <v>629</v>
      </c>
    </row>
    <row r="24" spans="1:3" ht="60" x14ac:dyDescent="0.25">
      <c r="A24" s="57">
        <v>2</v>
      </c>
      <c r="B24" s="38" t="s">
        <v>255</v>
      </c>
      <c r="C24" s="40" t="s">
        <v>630</v>
      </c>
    </row>
    <row r="25" spans="1:3" ht="30" x14ac:dyDescent="0.25">
      <c r="A25" s="57">
        <v>3</v>
      </c>
      <c r="B25" s="38" t="s">
        <v>303</v>
      </c>
      <c r="C25" s="40" t="s">
        <v>631</v>
      </c>
    </row>
    <row r="26" spans="1:3" ht="30" x14ac:dyDescent="0.25">
      <c r="A26" s="57">
        <v>4</v>
      </c>
      <c r="B26" s="38" t="s">
        <v>256</v>
      </c>
      <c r="C26" s="40" t="s">
        <v>632</v>
      </c>
    </row>
    <row r="27" spans="1:3" x14ac:dyDescent="0.25">
      <c r="A27" s="34"/>
      <c r="B27" s="33"/>
      <c r="C27" s="33"/>
    </row>
    <row r="28" spans="1:3" x14ac:dyDescent="0.25">
      <c r="B28" s="85" t="s">
        <v>25</v>
      </c>
    </row>
    <row r="29" spans="1:3" ht="90" x14ac:dyDescent="0.25">
      <c r="A29" s="57">
        <v>1</v>
      </c>
      <c r="B29" s="38" t="s">
        <v>257</v>
      </c>
      <c r="C29" s="40" t="s">
        <v>633</v>
      </c>
    </row>
    <row r="30" spans="1:3" ht="60" x14ac:dyDescent="0.25">
      <c r="A30" s="57">
        <v>2</v>
      </c>
      <c r="B30" s="38" t="s">
        <v>258</v>
      </c>
      <c r="C30" s="40" t="s">
        <v>634</v>
      </c>
    </row>
    <row r="31" spans="1:3" ht="60" x14ac:dyDescent="0.25">
      <c r="A31" s="57">
        <v>3</v>
      </c>
      <c r="B31" s="38" t="s">
        <v>259</v>
      </c>
      <c r="C31" s="40" t="s">
        <v>634</v>
      </c>
    </row>
    <row r="32" spans="1:3" ht="60" x14ac:dyDescent="0.25">
      <c r="A32" s="57">
        <v>4</v>
      </c>
      <c r="B32" s="38" t="s">
        <v>260</v>
      </c>
      <c r="C32" s="40" t="s">
        <v>634</v>
      </c>
    </row>
    <row r="33" spans="1:3" ht="60" x14ac:dyDescent="0.25">
      <c r="A33" s="57">
        <v>5</v>
      </c>
      <c r="B33" s="38" t="s">
        <v>262</v>
      </c>
      <c r="C33" s="40" t="s">
        <v>634</v>
      </c>
    </row>
    <row r="34" spans="1:3" ht="60" x14ac:dyDescent="0.25">
      <c r="A34" s="57">
        <v>6</v>
      </c>
      <c r="B34" s="38" t="s">
        <v>261</v>
      </c>
      <c r="C34" s="40" t="s">
        <v>635</v>
      </c>
    </row>
    <row r="35" spans="1:3" x14ac:dyDescent="0.25">
      <c r="A35" s="34"/>
      <c r="B35" s="33"/>
      <c r="C35" s="33"/>
    </row>
    <row r="36" spans="1:3" x14ac:dyDescent="0.25">
      <c r="B36" s="85" t="s">
        <v>26</v>
      </c>
    </row>
    <row r="37" spans="1:3" ht="60" x14ac:dyDescent="0.25">
      <c r="A37" s="57">
        <v>1</v>
      </c>
      <c r="B37" s="38" t="s">
        <v>263</v>
      </c>
      <c r="C37" s="40" t="s">
        <v>637</v>
      </c>
    </row>
    <row r="38" spans="1:3" ht="45" x14ac:dyDescent="0.25">
      <c r="A38" s="57">
        <v>2</v>
      </c>
      <c r="B38" s="38" t="s">
        <v>264</v>
      </c>
      <c r="C38" s="40" t="s">
        <v>636</v>
      </c>
    </row>
    <row r="39" spans="1:3" ht="45" x14ac:dyDescent="0.25">
      <c r="A39" s="57">
        <v>3</v>
      </c>
      <c r="B39" s="38" t="s">
        <v>265</v>
      </c>
      <c r="C39" s="40" t="s">
        <v>638</v>
      </c>
    </row>
    <row r="40" spans="1:3" ht="45" x14ac:dyDescent="0.25">
      <c r="A40" s="57">
        <v>4</v>
      </c>
      <c r="B40" s="38" t="s">
        <v>266</v>
      </c>
      <c r="C40" s="40" t="s">
        <v>639</v>
      </c>
    </row>
    <row r="41" spans="1:3" ht="45" x14ac:dyDescent="0.25">
      <c r="A41" s="57">
        <v>5</v>
      </c>
      <c r="B41" s="38" t="s">
        <v>267</v>
      </c>
      <c r="C41" s="40" t="s">
        <v>639</v>
      </c>
    </row>
    <row r="42" spans="1:3" ht="45" x14ac:dyDescent="0.25">
      <c r="A42" s="57">
        <v>6</v>
      </c>
      <c r="B42" s="38" t="s">
        <v>268</v>
      </c>
      <c r="C42" s="40" t="s">
        <v>639</v>
      </c>
    </row>
    <row r="43" spans="1:3" x14ac:dyDescent="0.25">
      <c r="A43" s="34"/>
      <c r="B43" s="33"/>
      <c r="C43" s="33"/>
    </row>
    <row r="44" spans="1:3" x14ac:dyDescent="0.25">
      <c r="B44" s="85" t="s">
        <v>27</v>
      </c>
    </row>
    <row r="45" spans="1:3" ht="75" x14ac:dyDescent="0.25">
      <c r="A45" s="57">
        <v>1</v>
      </c>
      <c r="B45" s="38" t="s">
        <v>269</v>
      </c>
      <c r="C45" s="86" t="s">
        <v>640</v>
      </c>
    </row>
    <row r="46" spans="1:3" ht="75" x14ac:dyDescent="0.25">
      <c r="A46" s="57">
        <v>2</v>
      </c>
      <c r="B46" s="38" t="s">
        <v>270</v>
      </c>
      <c r="C46" s="86" t="s">
        <v>641</v>
      </c>
    </row>
    <row r="47" spans="1:3" ht="75" x14ac:dyDescent="0.25">
      <c r="A47" s="57">
        <v>3</v>
      </c>
      <c r="B47" s="38" t="s">
        <v>271</v>
      </c>
      <c r="C47" s="86" t="s">
        <v>642</v>
      </c>
    </row>
    <row r="48" spans="1:3" ht="75" x14ac:dyDescent="0.25">
      <c r="A48" s="57">
        <v>4</v>
      </c>
      <c r="B48" s="38" t="s">
        <v>272</v>
      </c>
      <c r="C48" s="86" t="s">
        <v>643</v>
      </c>
    </row>
    <row r="49" spans="1:3" ht="75" x14ac:dyDescent="0.25">
      <c r="A49" s="57">
        <v>5</v>
      </c>
      <c r="B49" s="38" t="s">
        <v>273</v>
      </c>
      <c r="C49" s="86" t="s">
        <v>644</v>
      </c>
    </row>
    <row r="50" spans="1:3" ht="90" x14ac:dyDescent="0.25">
      <c r="A50" s="57">
        <v>6</v>
      </c>
      <c r="B50" s="38" t="s">
        <v>274</v>
      </c>
      <c r="C50" s="40" t="s">
        <v>645</v>
      </c>
    </row>
    <row r="51" spans="1:3" ht="120" x14ac:dyDescent="0.25">
      <c r="A51" s="57">
        <v>7</v>
      </c>
      <c r="B51" s="38" t="s">
        <v>275</v>
      </c>
      <c r="C51" s="86" t="s">
        <v>646</v>
      </c>
    </row>
    <row r="52" spans="1:3" x14ac:dyDescent="0.25">
      <c r="A52" s="34"/>
      <c r="B52" s="33"/>
      <c r="C52" s="33"/>
    </row>
    <row r="53" spans="1:3" x14ac:dyDescent="0.25">
      <c r="B53" s="85" t="s">
        <v>28</v>
      </c>
    </row>
    <row r="54" spans="1:3" ht="60" x14ac:dyDescent="0.25">
      <c r="A54" s="57">
        <v>1</v>
      </c>
      <c r="B54" s="38" t="s">
        <v>276</v>
      </c>
      <c r="C54" s="86" t="s">
        <v>647</v>
      </c>
    </row>
    <row r="55" spans="1:3" ht="60" x14ac:dyDescent="0.25">
      <c r="A55" s="57">
        <v>2</v>
      </c>
      <c r="B55" s="38" t="s">
        <v>277</v>
      </c>
      <c r="C55" s="86" t="s">
        <v>647</v>
      </c>
    </row>
    <row r="56" spans="1:3" ht="60" x14ac:dyDescent="0.25">
      <c r="A56" s="57">
        <v>3</v>
      </c>
      <c r="B56" s="38" t="s">
        <v>278</v>
      </c>
      <c r="C56" s="86" t="s">
        <v>647</v>
      </c>
    </row>
    <row r="57" spans="1:3" ht="30" x14ac:dyDescent="0.25">
      <c r="A57" s="57">
        <v>4</v>
      </c>
      <c r="B57" s="38" t="s">
        <v>279</v>
      </c>
      <c r="C57" s="86" t="s">
        <v>648</v>
      </c>
    </row>
    <row r="58" spans="1:3" ht="30" x14ac:dyDescent="0.25">
      <c r="A58" s="57">
        <v>5</v>
      </c>
      <c r="B58" s="38" t="s">
        <v>280</v>
      </c>
      <c r="C58" s="86" t="s">
        <v>649</v>
      </c>
    </row>
    <row r="59" spans="1:3" ht="75" x14ac:dyDescent="0.25">
      <c r="A59" s="57">
        <v>6</v>
      </c>
      <c r="B59" s="38" t="s">
        <v>281</v>
      </c>
      <c r="C59" s="86" t="s">
        <v>650</v>
      </c>
    </row>
    <row r="60" spans="1:3" ht="75" x14ac:dyDescent="0.25">
      <c r="A60" s="57">
        <v>7</v>
      </c>
      <c r="B60" s="38" t="s">
        <v>282</v>
      </c>
      <c r="C60" s="40" t="s">
        <v>650</v>
      </c>
    </row>
    <row r="61" spans="1:3" x14ac:dyDescent="0.25">
      <c r="A61" s="34"/>
      <c r="B61" s="33"/>
      <c r="C61" s="33"/>
    </row>
    <row r="62" spans="1:3" x14ac:dyDescent="0.25">
      <c r="B62" s="85" t="s">
        <v>29</v>
      </c>
    </row>
    <row r="63" spans="1:3" ht="30" x14ac:dyDescent="0.25">
      <c r="A63" s="57">
        <v>1</v>
      </c>
      <c r="B63" s="38" t="s">
        <v>283</v>
      </c>
      <c r="C63" s="40" t="s">
        <v>652</v>
      </c>
    </row>
    <row r="64" spans="1:3" ht="60" x14ac:dyDescent="0.25">
      <c r="A64" s="57">
        <v>2</v>
      </c>
      <c r="B64" s="38" t="s">
        <v>284</v>
      </c>
      <c r="C64" s="40" t="s">
        <v>651</v>
      </c>
    </row>
    <row r="65" spans="1:3" ht="30" x14ac:dyDescent="0.25">
      <c r="A65" s="57">
        <v>3</v>
      </c>
      <c r="B65" s="38" t="s">
        <v>285</v>
      </c>
      <c r="C65" s="40" t="s">
        <v>652</v>
      </c>
    </row>
    <row r="66" spans="1:3" ht="30" x14ac:dyDescent="0.25">
      <c r="A66" s="57">
        <v>4</v>
      </c>
      <c r="B66" s="38" t="s">
        <v>286</v>
      </c>
      <c r="C66" s="40" t="s">
        <v>652</v>
      </c>
    </row>
    <row r="67" spans="1:3" ht="30" x14ac:dyDescent="0.25">
      <c r="A67" s="57">
        <v>5</v>
      </c>
      <c r="B67" s="38" t="s">
        <v>287</v>
      </c>
      <c r="C67" s="40" t="s">
        <v>652</v>
      </c>
    </row>
    <row r="68" spans="1:3" ht="60" x14ac:dyDescent="0.25">
      <c r="A68" s="57">
        <v>6</v>
      </c>
      <c r="B68" s="38" t="s">
        <v>288</v>
      </c>
      <c r="C68" s="40" t="s">
        <v>651</v>
      </c>
    </row>
    <row r="69" spans="1:3" ht="60" x14ac:dyDescent="0.25">
      <c r="A69" s="57">
        <v>7</v>
      </c>
      <c r="B69" s="38" t="s">
        <v>289</v>
      </c>
      <c r="C69" s="40" t="s">
        <v>651</v>
      </c>
    </row>
    <row r="70" spans="1:3" ht="60" x14ac:dyDescent="0.25">
      <c r="A70" s="57">
        <v>8</v>
      </c>
      <c r="B70" s="38" t="s">
        <v>290</v>
      </c>
      <c r="C70" s="40" t="s">
        <v>651</v>
      </c>
    </row>
    <row r="71" spans="1:3" x14ac:dyDescent="0.25">
      <c r="A71" s="34"/>
      <c r="B71" s="33"/>
      <c r="C71" s="33"/>
    </row>
    <row r="72" spans="1:3" x14ac:dyDescent="0.25">
      <c r="B72" s="85" t="s">
        <v>30</v>
      </c>
    </row>
    <row r="73" spans="1:3" ht="45" x14ac:dyDescent="0.25">
      <c r="A73" s="57">
        <v>1</v>
      </c>
      <c r="B73" s="91" t="s">
        <v>291</v>
      </c>
      <c r="C73" s="40" t="s">
        <v>653</v>
      </c>
    </row>
    <row r="74" spans="1:3" x14ac:dyDescent="0.25">
      <c r="A74" s="34"/>
      <c r="B74" s="33"/>
      <c r="C74" s="33"/>
    </row>
    <row r="75" spans="1:3" ht="30" x14ac:dyDescent="0.25">
      <c r="B75" s="85" t="s">
        <v>31</v>
      </c>
    </row>
    <row r="76" spans="1:3" ht="90" x14ac:dyDescent="0.25">
      <c r="A76" s="57">
        <v>1</v>
      </c>
      <c r="B76" s="38" t="s">
        <v>292</v>
      </c>
      <c r="C76" s="40" t="s">
        <v>654</v>
      </c>
    </row>
    <row r="77" spans="1:3" x14ac:dyDescent="0.25">
      <c r="A77" s="34"/>
      <c r="B77" s="33"/>
      <c r="C77" s="33"/>
    </row>
    <row r="78" spans="1:3" ht="75" x14ac:dyDescent="0.25">
      <c r="A78" s="57">
        <v>1</v>
      </c>
      <c r="B78" s="87" t="s">
        <v>846</v>
      </c>
      <c r="C78" s="86" t="s">
        <v>643</v>
      </c>
    </row>
    <row r="79" spans="1:3" ht="75" x14ac:dyDescent="0.25">
      <c r="A79" s="57">
        <v>2</v>
      </c>
      <c r="B79" s="87" t="s">
        <v>847</v>
      </c>
      <c r="C79" s="86" t="s">
        <v>640</v>
      </c>
    </row>
    <row r="80" spans="1:3" ht="60" x14ac:dyDescent="0.25">
      <c r="A80" s="57">
        <v>3</v>
      </c>
      <c r="B80" s="87" t="s">
        <v>848</v>
      </c>
      <c r="C80" s="40" t="s">
        <v>655</v>
      </c>
    </row>
    <row r="81" spans="1:3" ht="45" x14ac:dyDescent="0.25">
      <c r="A81" s="57">
        <v>4</v>
      </c>
      <c r="B81" s="87" t="s">
        <v>849</v>
      </c>
      <c r="C81" s="40" t="s">
        <v>656</v>
      </c>
    </row>
    <row r="82" spans="1:3" ht="90" x14ac:dyDescent="0.25">
      <c r="A82" s="57">
        <v>5</v>
      </c>
      <c r="B82" s="87" t="s">
        <v>850</v>
      </c>
      <c r="C82" s="40" t="s">
        <v>633</v>
      </c>
    </row>
    <row r="83" spans="1:3" ht="45" x14ac:dyDescent="0.25">
      <c r="A83" s="57">
        <v>6</v>
      </c>
      <c r="B83" s="88" t="s">
        <v>602</v>
      </c>
      <c r="C83" s="40" t="s">
        <v>657</v>
      </c>
    </row>
    <row r="84" spans="1:3" ht="45" x14ac:dyDescent="0.25">
      <c r="A84" s="57">
        <v>7</v>
      </c>
      <c r="B84" s="88" t="s">
        <v>601</v>
      </c>
      <c r="C84" s="40" t="s">
        <v>639</v>
      </c>
    </row>
    <row r="85" spans="1:3" ht="45" x14ac:dyDescent="0.25">
      <c r="A85" s="57">
        <v>8</v>
      </c>
      <c r="B85" s="89" t="s">
        <v>603</v>
      </c>
      <c r="C85" s="40" t="s">
        <v>639</v>
      </c>
    </row>
    <row r="86" spans="1:3" ht="45" x14ac:dyDescent="0.25">
      <c r="A86" s="57">
        <v>9</v>
      </c>
      <c r="B86" s="90" t="s">
        <v>604</v>
      </c>
      <c r="C86" s="40" t="s">
        <v>639</v>
      </c>
    </row>
    <row r="87" spans="1:3" ht="45" x14ac:dyDescent="0.25">
      <c r="A87" s="57">
        <v>10</v>
      </c>
      <c r="B87" s="90" t="s">
        <v>605</v>
      </c>
      <c r="C87" s="40" t="s">
        <v>639</v>
      </c>
    </row>
    <row r="88" spans="1:3" ht="45" x14ac:dyDescent="0.25">
      <c r="A88" s="57">
        <v>11</v>
      </c>
      <c r="B88" s="88" t="s">
        <v>606</v>
      </c>
      <c r="C88" s="40" t="s">
        <v>639</v>
      </c>
    </row>
    <row r="89" spans="1:3" ht="45" x14ac:dyDescent="0.25">
      <c r="A89" s="57">
        <v>12</v>
      </c>
      <c r="B89" s="88" t="s">
        <v>607</v>
      </c>
      <c r="C89" s="40" t="s">
        <v>639</v>
      </c>
    </row>
    <row r="90" spans="1:3" ht="45" x14ac:dyDescent="0.25">
      <c r="A90" s="57">
        <v>13</v>
      </c>
      <c r="B90" s="88" t="s">
        <v>608</v>
      </c>
      <c r="C90" s="40" t="s">
        <v>639</v>
      </c>
    </row>
    <row r="91" spans="1:3" ht="45" x14ac:dyDescent="0.25">
      <c r="A91" s="57">
        <v>14</v>
      </c>
      <c r="B91" s="88" t="s">
        <v>609</v>
      </c>
      <c r="C91" s="40" t="s">
        <v>639</v>
      </c>
    </row>
    <row r="92" spans="1:3" ht="45" x14ac:dyDescent="0.25">
      <c r="A92" s="57">
        <v>15</v>
      </c>
      <c r="B92" s="88" t="s">
        <v>610</v>
      </c>
      <c r="C92" s="40" t="s">
        <v>639</v>
      </c>
    </row>
    <row r="93" spans="1:3" ht="45" x14ac:dyDescent="0.25">
      <c r="A93" s="57">
        <v>16</v>
      </c>
      <c r="B93" s="88" t="s">
        <v>611</v>
      </c>
      <c r="C93" s="40" t="s">
        <v>639</v>
      </c>
    </row>
  </sheetData>
  <sheetProtection algorithmName="SHA-512" hashValue="iXWT7Q9xWg7IoMECkxfchX66b4noilX9VE2U0cb5VavcR9ZdHjMs/Jb6D6hQ/Jb243wkN4Exj0vzHEOLnx8W7w==" saltValue="+T4g00dUvNJvpxlH+aS+GQ==" spinCount="100000" sheet="1"/>
  <mergeCells count="1">
    <mergeCell ref="B4:C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F44186328644E40A6277D784062BB8B" ma:contentTypeVersion="16" ma:contentTypeDescription="Crear nuevo documento." ma:contentTypeScope="" ma:versionID="c1202c1f18876f6d79d768b5e9d70c79">
  <xsd:schema xmlns:xsd="http://www.w3.org/2001/XMLSchema" xmlns:xs="http://www.w3.org/2001/XMLSchema" xmlns:p="http://schemas.microsoft.com/office/2006/metadata/properties" xmlns:ns2="7f9fe6a9-d72a-4b48-8a53-4c5124e1bb55" xmlns:ns3="2a402d46-15e8-4907-9220-a173efc0b1f9" targetNamespace="http://schemas.microsoft.com/office/2006/metadata/properties" ma:root="true" ma:fieldsID="8bf714785c411e37188da5243c3662a4" ns2:_="" ns3:_="">
    <xsd:import namespace="7f9fe6a9-d72a-4b48-8a53-4c5124e1bb55"/>
    <xsd:import namespace="2a402d46-15e8-4907-9220-a173efc0b1f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SearchProperties" minOccurs="0"/>
                <xsd:element ref="ns3:_Flow_SignoffStatu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9fe6a9-d72a-4b48-8a53-4c5124e1bb55"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7b8651d0-d84c-4458-8f0b-634dada0deef}" ma:internalName="TaxCatchAll" ma:showField="CatchAllData" ma:web="7f9fe6a9-d72a-4b48-8a53-4c5124e1bb5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a402d46-15e8-4907-9220-a173efc0b1f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f68e02ac-8692-4cfc-b319-bba3578944da"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_Flow_SignoffStatus" ma:index="22" nillable="true" ma:displayName="Estado de aprobación" ma:internalName="Estado_x0020_de_x0020_aprobaci_x00f3_n">
      <xsd:simpleType>
        <xsd:restriction base="dms:Text"/>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f9fe6a9-d72a-4b48-8a53-4c5124e1bb55" xsi:nil="true"/>
    <lcf76f155ced4ddcb4097134ff3c332f xmlns="2a402d46-15e8-4907-9220-a173efc0b1f9">
      <Terms xmlns="http://schemas.microsoft.com/office/infopath/2007/PartnerControls"/>
    </lcf76f155ced4ddcb4097134ff3c332f>
    <_Flow_SignoffStatus xmlns="2a402d46-15e8-4907-9220-a173efc0b1f9" xsi:nil="true"/>
  </documentManagement>
</p:properties>
</file>

<file path=customXml/itemProps1.xml><?xml version="1.0" encoding="utf-8"?>
<ds:datastoreItem xmlns:ds="http://schemas.openxmlformats.org/officeDocument/2006/customXml" ds:itemID="{7439E09C-7934-4B33-A060-01853F996C02}"/>
</file>

<file path=customXml/itemProps2.xml><?xml version="1.0" encoding="utf-8"?>
<ds:datastoreItem xmlns:ds="http://schemas.openxmlformats.org/officeDocument/2006/customXml" ds:itemID="{44BB3459-8FE5-42C0-8831-5E97088CBD5E}"/>
</file>

<file path=customXml/itemProps3.xml><?xml version="1.0" encoding="utf-8"?>
<ds:datastoreItem xmlns:ds="http://schemas.openxmlformats.org/officeDocument/2006/customXml" ds:itemID="{E06F84FF-1FA5-44D1-AFA9-33DCFB610D7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Datos Generales</vt:lpstr>
      <vt:lpstr>Contexto</vt:lpstr>
      <vt:lpstr>Descripcion Actividades</vt:lpstr>
      <vt:lpstr>Eval Factores de Riesgo</vt:lpstr>
      <vt:lpstr>Valimpacto</vt:lpstr>
      <vt:lpstr>cap.7 - analisis riesgos</vt:lpstr>
      <vt:lpstr>Incidencias y Tratamientos</vt:lpstr>
      <vt:lpstr>Catalogo Tratamiento de Riesgos</vt:lpstr>
      <vt:lpstr>Catalogo Otros Riesgos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Bibiana Páez</dc:creator>
  <cp:lastModifiedBy>Acer</cp:lastModifiedBy>
  <cp:lastPrinted>2021-07-12T14:16:01Z</cp:lastPrinted>
  <dcterms:created xsi:type="dcterms:W3CDTF">2021-03-10T21:33:37Z</dcterms:created>
  <dcterms:modified xsi:type="dcterms:W3CDTF">2025-04-21T04:59:15Z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0x0101000F44186328644E40A6277D784062BB8B</vt:lpwstr>
  </property>
</Properties>
</file>